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svg" ContentType="image/svg+xml"/>
  <Default Extension="ti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4.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showInkAnnotation="0" updateLinks="never" defaultThemeVersion="124226"/>
  <xr:revisionPtr revIDLastSave="0" documentId="13_ncr:1_{163BEF29-823E-4961-85BE-D5505523ED7F}" xr6:coauthVersionLast="45" xr6:coauthVersionMax="45" xr10:uidLastSave="{00000000-0000-0000-0000-000000000000}"/>
  <bookViews>
    <workbookView xWindow="28680" yWindow="-120" windowWidth="29040" windowHeight="15840" tabRatio="888" xr2:uid="{00000000-000D-0000-FFFF-FFFF00000000}"/>
  </bookViews>
  <sheets>
    <sheet name="start" sheetId="11" r:id="rId1"/>
    <sheet name="company data" sheetId="22" r:id="rId2"/>
    <sheet name="contact persons" sheetId="25" r:id="rId3"/>
    <sheet name="applications" sheetId="15" r:id="rId4"/>
    <sheet name="contact persons VW Group" sheetId="21" r:id="rId5"/>
    <sheet name="add on data access locations" sheetId="27" r:id="rId6"/>
    <sheet name="status of TISAX assessment" sheetId="28" r:id="rId7"/>
    <sheet name="Konzern-Ansprechpartner_ALT" sheetId="10" state="hidden" r:id="rId8"/>
    <sheet name="add on application CONNECT" sheetId="6" state="hidden" r:id="rId9"/>
    <sheet name="TISAX information" sheetId="29" r:id="rId10"/>
    <sheet name="summary" sheetId="16" r:id="rId11"/>
    <sheet name="Tabelle1" sheetId="9" state="hidden" r:id="rId12"/>
    <sheet name="public.landessprache" sheetId="12" state="hidden" r:id="rId13"/>
    <sheet name="Hilfsblatt_Vertragsvorschau" sheetId="20" state="hidden" r:id="rId14"/>
    <sheet name="Stammdaten" sheetId="24" state="hidden" r:id="rId15"/>
    <sheet name="contact persons_de" sheetId="2" state="hidden" r:id="rId16"/>
    <sheet name="company data_de" sheetId="1" state="hidden" r:id="rId17"/>
    <sheet name="Stammdaten_de" sheetId="8" state="hidden" r:id="rId18"/>
  </sheets>
  <externalReferences>
    <externalReference r:id="rId19"/>
    <externalReference r:id="rId20"/>
    <externalReference r:id="rId21"/>
  </externalReferences>
  <definedNames>
    <definedName name="AP_Mailing" localSheetId="2">'contact persons'!$C$33:$C$37</definedName>
    <definedName name="AP_Rechnung" localSheetId="2">'contact persons'!$C$25:$C$29</definedName>
    <definedName name="AP_Rechnung" localSheetId="9">[1]Ansprechpartner!$C$25:$C$29</definedName>
    <definedName name="AP_Rechnung">[2]Ansprechpartner!$C$25:$C$29</definedName>
    <definedName name="AP_Technik" localSheetId="2">'contact persons'!$C$16:$C$20</definedName>
    <definedName name="AP_Technik" localSheetId="9">[1]Ansprechpartner!$C$16:$C$20</definedName>
    <definedName name="AP_Technik">[2]Ansprechpartner!$C$16:$C$20</definedName>
    <definedName name="AP_Vertrag" localSheetId="2">'contact persons'!$C$8:$C$12</definedName>
    <definedName name="AP_Vertrag" localSheetId="14">'contact persons'!$C$8:$C$12</definedName>
    <definedName name="AP_Vertrag" localSheetId="9">[1]Ansprechpartner!$C$8:$C$12</definedName>
    <definedName name="AP_Vertrag">[2]Ansprechpartner!$C$8:$C$12</definedName>
    <definedName name="Appsummefürmyplm" localSheetId="9">'[1]Konzern-Applikationen'!$B$118</definedName>
    <definedName name="Appsummefürmyplm">'[2]Konzern-Applikationen'!$B$118</definedName>
    <definedName name="JITAudi_Nutzungsstandorte" localSheetId="6">'[2]Konzern-Applikationen'!$J$28</definedName>
    <definedName name="JITAudi_Nutzungsstandorte" localSheetId="9">'[1]Konzern-Applikationen'!$J$28</definedName>
    <definedName name="JITAudi_Nutzungsstandorte">applications!$J$28</definedName>
    <definedName name="kopf_ansprechpartner_unternehmen">summary!$B$69</definedName>
    <definedName name="kopf_konzernansprechpartner">summary!$B$159</definedName>
    <definedName name="kopf_konzernapplikationen">summary!$B$101</definedName>
    <definedName name="kopf_vertragsdaten">summary!$B$4</definedName>
    <definedName name="kopf_vertragsvorschau">summary!$B$249</definedName>
    <definedName name="kopf_zusammenfassung">summary!$B$1</definedName>
    <definedName name="kopf_zusatzdatenconnect">summary!$B$202</definedName>
    <definedName name="logo2" localSheetId="9">INDIRECT("Bilder!$B"&amp;[1]Bilder!$D$1)</definedName>
    <definedName name="logo2">INDIRECT("Bilder!$B"&amp;[2]Bilder!$D$1)</definedName>
    <definedName name="mailto_csn.service_o_s.de" localSheetId="6">[2]Zusammenfassung!#REF!</definedName>
    <definedName name="mailto_csn.service_o_s.de" localSheetId="9">[1]Zusammenfassung!#REF!</definedName>
    <definedName name="mailto_csn.service_o_s.de">summary!#REF!</definedName>
    <definedName name="Screenshot" localSheetId="9">INDIRECT("Screenshot!$B"&amp;[1]Screenshot!$D$1)</definedName>
    <definedName name="Screenshot">INDIRECT("Screenshot!$B"&amp;[2]Screenshot!$D$1)</definedName>
    <definedName name="z_anzeige_kein_evoice">summary!$C$27</definedName>
    <definedName name="z_applikationen_zusatzinfo">summary!$C$155</definedName>
    <definedName name="z_aussage_weitere_datenaustauschorte">summary!$C$46</definedName>
    <definedName name="z_bestandsänderung" localSheetId="6">[2]Unternehmensdaten!$D$7</definedName>
    <definedName name="z_bestandsänderung" localSheetId="9">[1]Unternehmensdaten!$D$7</definedName>
    <definedName name="z_bestandsänderung">'company data'!$D$7</definedName>
    <definedName name="z_connect_abstimmen_interneap">summary!$C$219</definedName>
    <definedName name="z_connect_anzahlmitarbeiter">summary!$C$216</definedName>
    <definedName name="z_connect_datum_vertragunterzeichnet">summary!$C$208</definedName>
    <definedName name="z_connect_fachbereich">summary!$C$206</definedName>
    <definedName name="z_connect_fahrzeugprojekte_zusammenarbeit">summary!$C$214</definedName>
    <definedName name="z_connect_frage_auftragunterzeichnet">summary!$C$207</definedName>
    <definedName name="z_connect_frage_weitereprojekte" localSheetId="6">[2]Zusammenfassung!$C$209</definedName>
    <definedName name="z_connect_frage_weitereprojekte" localSheetId="9">[1]Zusammenfassung!$C$188</definedName>
    <definedName name="z_connect_frage_weitereprojekte">summary!$C$209</definedName>
    <definedName name="z_connect_häufigkeit_zusammenarbeit">summary!$C$215</definedName>
    <definedName name="z_connect_häufigkeitbauraum">summary!$C$217</definedName>
    <definedName name="z_connect_inhaltzusammenarbeit">summary!$C$213</definedName>
    <definedName name="z_connect_lieferung_zwischenstand">summary!$C$218</definedName>
    <definedName name="z_connect_marke">summary!$C$205</definedName>
    <definedName name="z_connect_projekt">summary!$C$204</definedName>
    <definedName name="z_connect_weitereprojekte">summary!$C$210</definedName>
    <definedName name="z_connect_zusatzhinweise">summary!$C$220</definedName>
    <definedName name="z_duns_daten">summary!$C$44</definedName>
    <definedName name="z_duns_technisch">summary!$C$36</definedName>
    <definedName name="z_duns_vertrag" localSheetId="6">[2]Zusammenfassung!$C$13</definedName>
    <definedName name="z_duns_vertrag" localSheetId="9">[1]Zusammenfassung!$C$13</definedName>
    <definedName name="z_duns_vertrag">summary!$C$13</definedName>
    <definedName name="z_emailpersunabhängig_rechnung">summary!$C$28</definedName>
    <definedName name="z_fachkontakt_anrede">summary!$C$148</definedName>
    <definedName name="z_fachkontakt_email">summary!$C$153</definedName>
    <definedName name="z_fachkontakt_mobiltelefon">summary!$C$152</definedName>
    <definedName name="z_fachkontakt_name">summary!$C$149</definedName>
    <definedName name="z_fachkontakt_telefon">summary!$C$151</definedName>
    <definedName name="z_fachkontakt_vorname">summary!$C$150</definedName>
    <definedName name="z_firma_daten">summary!$C$39</definedName>
    <definedName name="z_firma_rechnung">summary!$C$22</definedName>
    <definedName name="z_firma_technisch">summary!$C$31</definedName>
    <definedName name="z_firma_vertrag">summary!$C$8</definedName>
    <definedName name="z_frage_andererstandort_daten" localSheetId="6">[2]Zusammenfassung!$C$18</definedName>
    <definedName name="z_frage_andererstandort_daten" localSheetId="9">[1]Zusammenfassung!$C$18</definedName>
    <definedName name="z_frage_andererstandort_daten">summary!$C$18</definedName>
    <definedName name="z_frage_andererstandort_technisch">summary!$C$17</definedName>
    <definedName name="z_frage_datenzugriff_vertragsnehmer">summary!$C$19</definedName>
    <definedName name="z_kontakt_anrede_mailing">summary!$C$95</definedName>
    <definedName name="z_kontakt_anrede_rechnung">summary!$C$87</definedName>
    <definedName name="z_kontakt_anrede_technisch">summary!$C$79</definedName>
    <definedName name="z_kontakt_anrede_vertrag" localSheetId="6">[2]Zusammenfassung!$C$71</definedName>
    <definedName name="z_kontakt_anrede_vertrag" localSheetId="9">[1]Zusammenfassung!$C$50</definedName>
    <definedName name="z_kontakt_anrede_vertrag">summary!$C$71</definedName>
    <definedName name="z_kontakt_email_mailing">summary!$C$99</definedName>
    <definedName name="z_kontakt_email_rechnung">summary!$C$91</definedName>
    <definedName name="z_kontakt_email_technisch">summary!$C$83</definedName>
    <definedName name="z_kontakt_email_vertrag" localSheetId="6">[2]Zusammenfassung!$C$75</definedName>
    <definedName name="z_kontakt_email_vertrag" localSheetId="9">[1]Zusammenfassung!$C$54</definedName>
    <definedName name="z_kontakt_email_vertrag">summary!$C$75</definedName>
    <definedName name="z_kontakt_mobiltelefon_rechnung">summary!$C$92</definedName>
    <definedName name="z_kontakt_mobiltelefon_technik">summary!$C$84</definedName>
    <definedName name="z_kontakt_mobiltelefon_vertrag" localSheetId="6">[2]Zusammenfassung!$C$76</definedName>
    <definedName name="z_kontakt_mobiltelefon_vertrag" localSheetId="9">[1]Zusammenfassung!$C$55</definedName>
    <definedName name="z_kontakt_mobiltelefon_vertrag">summary!$C$76</definedName>
    <definedName name="z_kontakt_name_mailing">summary!$C$96</definedName>
    <definedName name="z_kontakt_name_rechnung">summary!$C$88</definedName>
    <definedName name="z_kontakt_name_technisch">summary!$C$80</definedName>
    <definedName name="z_kontakt_name_vertrag" localSheetId="6">[2]Zusammenfassung!$C$72</definedName>
    <definedName name="z_kontakt_name_vertrag" localSheetId="9">[1]Zusammenfassung!$C$51</definedName>
    <definedName name="z_kontakt_name_vertrag">summary!$C$72</definedName>
    <definedName name="z_kontakt_telefon_mailing">summary!$C$98</definedName>
    <definedName name="z_kontakt_telefon_rechnung">summary!$C$90</definedName>
    <definedName name="z_kontakt_telefon_technisch">summary!$C$82</definedName>
    <definedName name="z_kontakt_telefon_vertrag" localSheetId="6">[2]Zusammenfassung!$C$74</definedName>
    <definedName name="z_kontakt_telefon_vertrag" localSheetId="9">[1]Zusammenfassung!$C$53</definedName>
    <definedName name="z_kontakt_telefon_vertrag">summary!$C$74</definedName>
    <definedName name="z_kontakt_vorname_mailing">summary!$C$97</definedName>
    <definedName name="z_kontakt_vorname_rechnung">summary!$C$89</definedName>
    <definedName name="z_kontakt_vorname_technisch">summary!$C$81</definedName>
    <definedName name="z_kontakt_vorname_vertrag" localSheetId="6">[2]Zusammenfassung!$C$73</definedName>
    <definedName name="z_kontakt_vorname_vertrag" localSheetId="9">[1]Zusammenfassung!$C$52</definedName>
    <definedName name="z_kontakt_vorname_vertrag">summary!$C$73</definedName>
    <definedName name="z_land_daten">summary!$C$43</definedName>
    <definedName name="z_land_technisch">summary!$C$35</definedName>
    <definedName name="z_land_vertrag">summary!$C$12</definedName>
    <definedName name="Z_lieferant_eins">summary!$C$14</definedName>
    <definedName name="z_lieferant_zwei">summary!$C$15</definedName>
    <definedName name="z_markeeins_citrix" localSheetId="6">[2]Zusammenfassung!$C$116</definedName>
    <definedName name="z_markeeins_citrix" localSheetId="9">[1]Zusammenfassung!$C$95</definedName>
    <definedName name="z_markeeins_citrix">summary!$C$116</definedName>
    <definedName name="z_markeeins_citrix_konzernap_abteilung">summary!$H$290</definedName>
    <definedName name="z_markeeins_citrix_konzernap_anrede">summary!$D$290</definedName>
    <definedName name="z_markeeins_citrix_konzernap_email">summary!$G$290</definedName>
    <definedName name="z_markeeins_citrix_konzernap_name">summary!$E$290</definedName>
    <definedName name="z_markeeins_citrix_konzernap_telefon">summary!$I$290</definedName>
    <definedName name="z_markeeins_citrix_konzernap_vorname">summary!$F$290</definedName>
    <definedName name="z_markeeins_citrix_verwendung">summary!$C$123</definedName>
    <definedName name="z_markeeins_connect" localSheetId="6">[2]Zusammenfassung!$C$104</definedName>
    <definedName name="z_markeeins_connect" localSheetId="9">[1]Zusammenfassung!$C$83</definedName>
    <definedName name="z_markeeins_connect">summary!$C$104</definedName>
    <definedName name="z_markeeins_connect_konzernap_abteilung">summary!$H$278</definedName>
    <definedName name="z_markeeins_connect_konzernap_anrede">summary!$D$278</definedName>
    <definedName name="z_markeeins_connect_konzernap_email">summary!$G$278</definedName>
    <definedName name="z_markeeins_connect_konzernap_name">summary!$E$278</definedName>
    <definedName name="z_markeeins_connect_konzernap_telefon">summary!$I$278</definedName>
    <definedName name="z_markeeins_connect_konzernap_vorname">summary!$F$278</definedName>
    <definedName name="z_markeeins_dmzlaufwerk" localSheetId="6">[2]Zusammenfassung!$C$112</definedName>
    <definedName name="z_markeeins_dmzlaufwerk" localSheetId="9">[1]Zusammenfassung!$C$91</definedName>
    <definedName name="z_markeeins_dmzlaufwerk">summary!$C$112</definedName>
    <definedName name="z_markeeins_dmzlaufwerk_konzernap_abteilung">summary!$H$286</definedName>
    <definedName name="z_markeeins_dmzlaufwerk_konzernap_anrede">summary!$D$286</definedName>
    <definedName name="z_markeeins_dmzlaufwerk_konzernap_email">summary!$G$286</definedName>
    <definedName name="z_markeeins_dmzlaufwerk_konzernap_name">summary!$E$286</definedName>
    <definedName name="z_markeeins_dmzlaufwerk_konzernap_telefon">summary!$I$286</definedName>
    <definedName name="z_markeeins_dmzlaufwerk_konzernap_vorname">summary!$F$286</definedName>
    <definedName name="z_markeeins_eca" localSheetId="6">[2]Zusammenfassung!$C$106</definedName>
    <definedName name="z_markeeins_eca" localSheetId="9">[1]Zusammenfassung!$C$85</definedName>
    <definedName name="z_markeeins_eca">summary!$C$106</definedName>
    <definedName name="z_markeeins_eca_konzernap_abteilung">summary!$H$280</definedName>
    <definedName name="z_markeeins_eca_konzernap_anrede">summary!$D$280</definedName>
    <definedName name="z_markeeins_eca_konzernap_email">summary!$G$280</definedName>
    <definedName name="z_markeeins_eca_konzernap_name">summary!$E$280</definedName>
    <definedName name="z_markeeins_eca_konzernap_telefon">summary!$I$280</definedName>
    <definedName name="z_markeeins_eca_konzernap_vorname">summary!$F$280</definedName>
    <definedName name="z_markeeins_edikommerzda" localSheetId="6">[2]Zusammenfassung!$C$114</definedName>
    <definedName name="z_markeeins_edikommerzda" localSheetId="9">[1]Zusammenfassung!$C$93</definedName>
    <definedName name="z_markeeins_edikommerzda">summary!$C$114</definedName>
    <definedName name="z_markeeins_edikommerzda_konzernap_abteilung">summary!$H$288</definedName>
    <definedName name="z_markeeins_edikommerzda_konzernap_anrede">summary!$D$288</definedName>
    <definedName name="z_markeeins_edikommerzda_konzernap_email">summary!$G$288</definedName>
    <definedName name="z_markeeins_edikommerzda_konzernap_name">summary!$E$288</definedName>
    <definedName name="z_markeeins_edikommerzda_konzernap_telefon">summary!$I$288</definedName>
    <definedName name="z_markeeins_edikommerzda_konzernap_vorname">summary!$F$288</definedName>
    <definedName name="z_markeeins_frage_sonstservice" localSheetId="6">[2]Zusammenfassung!$C$120</definedName>
    <definedName name="z_markeeins_frage_sonstservice" localSheetId="9">[1]Zusammenfassung!$C$99</definedName>
    <definedName name="z_markeeins_frage_sonstservice">summary!$C$120</definedName>
    <definedName name="z_markeeins_frage_sonstservice_konzernap_abteilung">summary!$H$294</definedName>
    <definedName name="z_markeeins_frage_sonstservice_konzernap_anrede">summary!$D$294</definedName>
    <definedName name="z_markeeins_frage_sonstservice_konzernap_email">summary!$G$294</definedName>
    <definedName name="z_markeeins_frage_sonstservice_konzernap_name">summary!$E$294</definedName>
    <definedName name="z_markeeins_frage_sonstservice_konzernap_telefon">summary!$I$294</definedName>
    <definedName name="z_markeeins_frage_sonstservice_konzernap_vorname">summary!$F$294</definedName>
    <definedName name="z_markeeins_jit" localSheetId="6">[2]Zusammenfassung!$C$119</definedName>
    <definedName name="z_markeeins_jit" localSheetId="9">[1]Zusammenfassung!$C$98</definedName>
    <definedName name="z_markeeins_jit">summary!$C$119</definedName>
    <definedName name="z_markeeins_jit_audinutzungsstandort">summary!$C$122</definedName>
    <definedName name="z_markeeins_jit_konzernap_abteilung">summary!$H$293</definedName>
    <definedName name="z_markeeins_jit_konzernap_anrede">summary!$D$293</definedName>
    <definedName name="z_markeeins_jit_konzernap_email">summary!$G$293</definedName>
    <definedName name="z_markeeins_jit_konzernap_name">summary!$E$293</definedName>
    <definedName name="z_markeeins_jit_konzernap_telefon">summary!$I$293</definedName>
    <definedName name="z_markeeins_jit_konzernap_vorname">summary!$F$293</definedName>
    <definedName name="z_markeeins_konzernap_audimynet">summary!$C$171</definedName>
    <definedName name="z_markeeins_konzernap_citrix">summary!$C$174</definedName>
    <definedName name="z_markeeins_konzernap_Connect">summary!$C$162</definedName>
    <definedName name="z_markeeins_konzernap_dmzlaufwerk">summary!$C$170</definedName>
    <definedName name="z_markeeins_konzernap_eca">summary!$C$164</definedName>
    <definedName name="z_markeeins_konzernap_edi">summary!$C$172</definedName>
    <definedName name="z_markeeins_konzernap_jti">summary!$C$177</definedName>
    <definedName name="z_markeeins_konzernap_kvs">summary!$C$161</definedName>
    <definedName name="z_markeeins_konzernap_oftp2">summary!$C$168</definedName>
    <definedName name="z_markeeins_konzernap_scf">summary!$C$166</definedName>
    <definedName name="z_markeeins_konzernap_simplx">summary!$C$169</definedName>
    <definedName name="z_markeeins_konzernap_sonstservice">summary!$C$178</definedName>
    <definedName name="z_markeeins_konzernap_syncrofit">summary!$C$167</definedName>
    <definedName name="z_markeeins_konzernap_vwdms">summary!$C$163</definedName>
    <definedName name="z_markeeins_konzernap_wts">summary!$C$175</definedName>
    <definedName name="z_markeeins_konzernap_zmb">summary!$C$165</definedName>
    <definedName name="z_markeeins_kvs" localSheetId="6">[2]Zusammenfassung!$C$103</definedName>
    <definedName name="z_markeeins_kvs" localSheetId="9">[1]Zusammenfassung!$C$82</definedName>
    <definedName name="z_markeeins_kvs">summary!$C$103</definedName>
    <definedName name="z_markeeins_kvs_konzernap_abteilung">summary!$H$277</definedName>
    <definedName name="z_markeeins_kvs_konzernap_anrede">summary!$D$277</definedName>
    <definedName name="z_markeeins_kvs_konzernap_email">summary!$G$277</definedName>
    <definedName name="z_markeeins_kvs_konzernap_name">summary!$E$277</definedName>
    <definedName name="z_markeeins_kvs_konzernap_telefon">summary!$I$277</definedName>
    <definedName name="z_markeeins_kvs_konzernap_vorname">summary!$F$277</definedName>
    <definedName name="z_markeeins_marke" localSheetId="6">[2]Zusammenfassung!$C$102</definedName>
    <definedName name="z_markeeins_marke" localSheetId="9">[1]Zusammenfassung!$C$81</definedName>
    <definedName name="z_markeeins_marke">summary!$C$102</definedName>
    <definedName name="z_markeeins_mynet" localSheetId="6">[2]Zusammenfassung!$C$113</definedName>
    <definedName name="z_markeeins_mynet" localSheetId="9">[1]Zusammenfassung!$C$92</definedName>
    <definedName name="z_markeeins_mynet">summary!$C$113</definedName>
    <definedName name="z_markeeins_mynet_konzernap_abteilung">summary!$H$287</definedName>
    <definedName name="z_markeeins_mynet_konzernap_anrede">summary!$D$287</definedName>
    <definedName name="z_markeeins_mynet_konzernap_email">summary!$G$287</definedName>
    <definedName name="z_markeeins_mynet_konzernap_name">summary!$E$287</definedName>
    <definedName name="z_markeeins_mynet_konzernap_telefon">summary!$I$287</definedName>
    <definedName name="z_markeeins_mynet_konzernap_vorname">summary!$F$287</definedName>
    <definedName name="z_markeeins_oftp" localSheetId="6">[2]Zusammenfassung!$C$110</definedName>
    <definedName name="z_markeeins_oftp" localSheetId="9">[1]Zusammenfassung!$C$89</definedName>
    <definedName name="z_markeeins_oftp">summary!$C$110</definedName>
    <definedName name="z_markeeins_oftp_konzernap_abteilung">summary!$H$284</definedName>
    <definedName name="z_markeeins_oftp_konzernap_anrede">summary!$D$284</definedName>
    <definedName name="z_markeeins_oftp_konzernap_email">summary!$G$284</definedName>
    <definedName name="z_markeeins_oftp_konzernap_name">summary!$E$284</definedName>
    <definedName name="z_markeeins_oftp_konzernap_telefon">summary!$I$284</definedName>
    <definedName name="z_markeeins_oftp_konzernap_vorname">summary!$F$284</definedName>
    <definedName name="z_markeeins_qts" localSheetId="6">[2]Zusammenfassung!$C$115</definedName>
    <definedName name="z_markeeins_qts" localSheetId="9">[1]Zusammenfassung!$C$94</definedName>
    <definedName name="z_markeeins_qts">summary!$C$115</definedName>
    <definedName name="z_markeeins_qts_konzernap_abteilung">summary!$H$289</definedName>
    <definedName name="z_markeeins_qts_konzernap_anrede">summary!$D$289</definedName>
    <definedName name="z_markeeins_qts_konzernap_email">summary!$G$289</definedName>
    <definedName name="z_markeeins_qts_konzernap_name">summary!$E$289</definedName>
    <definedName name="z_markeeins_qts_konzernap_telefon">summary!$I$289</definedName>
    <definedName name="z_markeeins_qts_konzernap_vorname">summary!$F$289</definedName>
    <definedName name="z_markeeins_scf" localSheetId="6">[2]Zusammenfassung!$C$108</definedName>
    <definedName name="z_markeeins_scf" localSheetId="9">[1]Zusammenfassung!$C$87</definedName>
    <definedName name="z_markeeins_scf">summary!$C$108</definedName>
    <definedName name="z_markeeins_scf_konzernap_abteilung">summary!$H$282</definedName>
    <definedName name="z_markeeins_scf_konzernap_anrede">summary!$D$282</definedName>
    <definedName name="z_markeeins_scf_konzernap_email">summary!$G$282</definedName>
    <definedName name="z_markeeins_scf_konzernap_name">summary!$E$282</definedName>
    <definedName name="z_markeeins_scf_konzernap_telefon">summary!$I$282</definedName>
    <definedName name="z_markeeins_scf_konzernap_vorname">summary!$F$282</definedName>
    <definedName name="z_markeeins_simplx" localSheetId="6">[2]Zusammenfassung!$C$111</definedName>
    <definedName name="z_markeeins_simplx" localSheetId="9">[1]Zusammenfassung!$C$90</definedName>
    <definedName name="z_markeeins_simplx">summary!$C$111</definedName>
    <definedName name="z_markeeins_simplx_konzernap_abteilung">summary!$H$285</definedName>
    <definedName name="z_markeeins_simplx_konzernap_anrede">summary!$D$285</definedName>
    <definedName name="z_markeeins_simplx_konzernap_email">summary!$G$285</definedName>
    <definedName name="z_markeeins_simplx_konzernap_name">summary!$E$285</definedName>
    <definedName name="z_markeeins_simplx_konzernap_telefon">summary!$I$285</definedName>
    <definedName name="z_markeeins_simplx_konzernap_vorname">summary!$F$285</definedName>
    <definedName name="z_markeeins_sonstservice">summary!$C$121</definedName>
    <definedName name="z_markeeins_syncrofit" localSheetId="6">[2]Zusammenfassung!$C$109</definedName>
    <definedName name="z_markeeins_syncrofit" localSheetId="9">[1]Zusammenfassung!$C$88</definedName>
    <definedName name="z_markeeins_syncrofit">summary!$C$109</definedName>
    <definedName name="z_markeeins_syncrofit_konzernap_abteilung">summary!$H$283</definedName>
    <definedName name="z_markeeins_syncrofit_konzernap_anrede">summary!$D$283</definedName>
    <definedName name="z_markeeins_syncrofit_konzernap_email">summary!$G$283</definedName>
    <definedName name="z_markeeins_syncrofit_konzernap_name">summary!$E$283</definedName>
    <definedName name="z_markeeins_syncrofit_konzernap_telefon">summary!$I$283</definedName>
    <definedName name="z_markeeins_syncrofit_konzernap_vorname">summary!$F$283</definedName>
    <definedName name="z_markeeins_vwdms" localSheetId="6">[2]Zusammenfassung!$C$105</definedName>
    <definedName name="z_markeeins_vwdms" localSheetId="9">[1]Zusammenfassung!$C$84</definedName>
    <definedName name="z_markeeins_vwdms">summary!$C$105</definedName>
    <definedName name="z_markeeins_vwdms_konzernap_abteilung">summary!$H$279</definedName>
    <definedName name="z_markeeins_vwdms_konzernap_anrede">summary!$D$279</definedName>
    <definedName name="z_markeeins_vwdms_konzernap_email">summary!$G$279</definedName>
    <definedName name="z_markeeins_vwdms_konzernap_name">summary!$E$279</definedName>
    <definedName name="z_markeeins_vwdms_konzernap_telefon">summary!$I$279</definedName>
    <definedName name="z_markeeins_vwdms_konzernap_vorname">summary!$F$279</definedName>
    <definedName name="z_markeeins_vweportal">summary!$C$118</definedName>
    <definedName name="z_markeeins_vweportal_konzernap_abteilung">summary!$H$292</definedName>
    <definedName name="z_markeeins_vweportal_konzernap_anrede">summary!$D$292</definedName>
    <definedName name="z_markeeins_vweportal_konzernap_email">summary!$G$292</definedName>
    <definedName name="z_markeeins_vweportal_konzernap_name">summary!$E$292</definedName>
    <definedName name="z_markeeins_vweportal_konzernap_telefon">summary!$I$292</definedName>
    <definedName name="z_markeeins_vweportal_konzernap_vorname">summary!$F$292</definedName>
    <definedName name="z_markeeins_wts" localSheetId="6">[2]Zusammenfassung!$C$117</definedName>
    <definedName name="z_markeeins_wts" localSheetId="9">[1]Zusammenfassung!$C$96</definedName>
    <definedName name="z_markeeins_wts">summary!$C$117</definedName>
    <definedName name="z_markeeins_wts_konzernap_abteilung">summary!$H$291</definedName>
    <definedName name="z_markeeins_wts_konzernap_anrede">summary!$D$291</definedName>
    <definedName name="z_markeeins_wts_konzernap_email">summary!$G$291</definedName>
    <definedName name="z_markeeins_wts_konzernap_name">summary!$E$291</definedName>
    <definedName name="z_markeeins_wts_konzernap_telefon">summary!$I$291</definedName>
    <definedName name="z_markeeins_wts_konzernap_vorname">summary!$F$291</definedName>
    <definedName name="z_markeeins_zmb" localSheetId="6">[2]Zusammenfassung!$C$107</definedName>
    <definedName name="z_markeeins_zmb" localSheetId="9">[1]Zusammenfassung!$C$86</definedName>
    <definedName name="z_markeeins_zmb">summary!$C$107</definedName>
    <definedName name="z_markeeins_zmb_konzernap_abteilung">summary!$H$281</definedName>
    <definedName name="z_markeeins_zmb_konzernap_anrede">summary!$D$281</definedName>
    <definedName name="z_markeeins_zmb_konzernap_email">summary!$G$281</definedName>
    <definedName name="z_markeeins_zmb_konzernap_name">summary!$E$281</definedName>
    <definedName name="z_markeeins_zmb_konzernap_telefon">summary!$I$281</definedName>
    <definedName name="z_markeeins_zmb_konzernap_vorname">summary!$F$281</definedName>
    <definedName name="z_markezwei_citrix" localSheetId="6">[2]Zusammenfassung!$C$138</definedName>
    <definedName name="z_markezwei_citrix" localSheetId="9">[1]Zusammenfassung!$C$117</definedName>
    <definedName name="z_markezwei_citrix">summary!$C$138</definedName>
    <definedName name="z_markezwei_citrix_konzernap_abteilung">summary!$H$312</definedName>
    <definedName name="z_markezwei_citrix_konzernap_anrede">summary!$D$312</definedName>
    <definedName name="z_markezwei_citrix_konzernap_email">summary!$G$312</definedName>
    <definedName name="z_markezwei_citrix_konzernap_name">summary!$E$312</definedName>
    <definedName name="z_markezwei_citrix_konzernap_telefon">summary!$I$312</definedName>
    <definedName name="z_markezwei_citrix_konzernap_vorname">summary!$F$312</definedName>
    <definedName name="z_markezwei_citrix_verwendung">summary!$C$145</definedName>
    <definedName name="z_markezwei_connect" localSheetId="6">[2]Zusammenfassung!$C$126</definedName>
    <definedName name="z_markezwei_connect" localSheetId="9">[1]Zusammenfassung!$C$105</definedName>
    <definedName name="z_markezwei_connect">summary!$C$126</definedName>
    <definedName name="z_markezwei_connect_konzernap_abteilung">summary!$H$300</definedName>
    <definedName name="z_markezwei_connect_konzernap_anrede">summary!$D$300</definedName>
    <definedName name="z_markezwei_connect_konzernap_email">summary!$G$300</definedName>
    <definedName name="z_markezwei_connect_konzernap_name">summary!$E$300</definedName>
    <definedName name="z_markezwei_connect_konzernap_telefon">summary!$I$300</definedName>
    <definedName name="z_markezwei_connect_konzernap_vorname">summary!$F$300</definedName>
    <definedName name="z_markezwei_dmzlaufwerk" localSheetId="6">[2]Zusammenfassung!$C$134</definedName>
    <definedName name="z_markezwei_dmzlaufwerk" localSheetId="9">[1]Zusammenfassung!$C$113</definedName>
    <definedName name="z_markezwei_dmzlaufwerk">summary!$C$134</definedName>
    <definedName name="z_markezwei_dmzlaufwerk_konzernap_abteilung">summary!$H$308</definedName>
    <definedName name="z_markezwei_dmzlaufwerk_konzernap_anrede">summary!$D$308</definedName>
    <definedName name="z_markezwei_dmzlaufwerk_konzernap_email">summary!$G$308</definedName>
    <definedName name="z_markezwei_dmzlaufwerk_konzernap_name">summary!$E$308</definedName>
    <definedName name="z_markezwei_dmzlaufwerk_konzernap_telefon">summary!$I$308</definedName>
    <definedName name="z_markezwei_dmzlaufwerk_konzernap_vorname">summary!$F$308</definedName>
    <definedName name="z_markezwei_eca" localSheetId="6">[2]Zusammenfassung!$C$128</definedName>
    <definedName name="z_markezwei_eca" localSheetId="9">[1]Zusammenfassung!$C$107</definedName>
    <definedName name="z_markezwei_eca">summary!$C$128</definedName>
    <definedName name="z_markezwei_eca_konzernap_abteilung">summary!$H$302</definedName>
    <definedName name="z_markezwei_eca_konzernap_anrede">summary!$D$302</definedName>
    <definedName name="z_markezwei_eca_konzernap_email">summary!$G$302</definedName>
    <definedName name="z_markezwei_eca_konzernap_name">summary!$E$302</definedName>
    <definedName name="z_markezwei_eca_konzernap_telefon">summary!$I$302</definedName>
    <definedName name="z_markezwei_eca_konzernap_vorname">summary!$F$302</definedName>
    <definedName name="z_markezwei_edikommerzda" localSheetId="6">[2]Zusammenfassung!$C$136</definedName>
    <definedName name="z_markezwei_edikommerzda" localSheetId="9">[1]Zusammenfassung!$C$115</definedName>
    <definedName name="z_markezwei_edikommerzda">summary!$C$136</definedName>
    <definedName name="z_markezwei_edikommerzda_konzernap_abteilung">summary!$H$310</definedName>
    <definedName name="z_markezwei_edikommerzda_konzernap_anrede">summary!$D$310</definedName>
    <definedName name="z_markezwei_edikommerzda_konzernap_email">summary!$G$310</definedName>
    <definedName name="z_markezwei_edikommerzda_konzernap_name">summary!$E$310</definedName>
    <definedName name="z_markezwei_edikommerzda_konzernap_telefon">summary!$I$310</definedName>
    <definedName name="z_markezwei_edikommerzda_konzernap_vorname">summary!$F$310</definedName>
    <definedName name="z_markezwei_frage_sonstservice" localSheetId="6">[2]Zusammenfassung!$C$142</definedName>
    <definedName name="z_markezwei_frage_sonstservice" localSheetId="9">[1]Zusammenfassung!$C$121</definedName>
    <definedName name="z_markezwei_frage_sonstservice">summary!$C$142</definedName>
    <definedName name="z_markezwei_frage_sonstservice_konzernap_abteilung">summary!$H$316</definedName>
    <definedName name="z_markezwei_frage_sonstservice_konzernap_anrede">summary!$D$316</definedName>
    <definedName name="z_markezwei_frage_sonstservice_konzernap_email">summary!$G$316</definedName>
    <definedName name="z_markezwei_frage_sonstservice_konzernap_name">summary!$E$316</definedName>
    <definedName name="z_markezwei_frage_sonstservice_konzernap_telefon">summary!$I$316</definedName>
    <definedName name="z_markezwei_frage_sonstservice_konzernap_vorname">summary!$F$316</definedName>
    <definedName name="z_markezwei_jit" localSheetId="6">[2]Zusammenfassung!$C$141</definedName>
    <definedName name="z_markezwei_jit" localSheetId="9">[1]Zusammenfassung!$C$120</definedName>
    <definedName name="z_markezwei_jit">summary!$C$141</definedName>
    <definedName name="z_markezwei_jit_audinutzungsstandort">summary!$C$144</definedName>
    <definedName name="z_markezwei_jit_konzernap_abteilung">summary!$H$315</definedName>
    <definedName name="z_markezwei_jit_konzernap_anrede">summary!$D$315</definedName>
    <definedName name="z_markezwei_jit_konzernap_email">summary!$G$315</definedName>
    <definedName name="z_markezwei_jit_konzernap_name">summary!$E$315</definedName>
    <definedName name="z_markezwei_jit_konzernap_telefon">summary!$I$315</definedName>
    <definedName name="z_markezwei_jit_konzernap_vorname">summary!$F$315</definedName>
    <definedName name="z_markezwei_konzernap_audimynet">summary!$C$192</definedName>
    <definedName name="z_markezwei_konzernap_citrix">summary!$C$195</definedName>
    <definedName name="z_markezwei_konzernap_Connect">summary!$C$183</definedName>
    <definedName name="z_markezwei_konzernap_dmzlaufwerk">summary!$C$191</definedName>
    <definedName name="z_markezwei_konzernap_eca">summary!$C$185</definedName>
    <definedName name="z_markezwei_konzernap_edi">summary!$C$193</definedName>
    <definedName name="z_markezwei_konzernap_jti">summary!$C$198</definedName>
    <definedName name="z_markezwei_konzernap_kvs">summary!$C$182</definedName>
    <definedName name="z_markezwei_konzernap_oftp2">summary!$C$189</definedName>
    <definedName name="z_markezwei_konzernap_scf">summary!$C$187</definedName>
    <definedName name="z_markezwei_konzernap_simplx">summary!$C$190</definedName>
    <definedName name="z_markezwei_konzernap_sonstservice">summary!$C$199</definedName>
    <definedName name="z_markezwei_konzernap_syncrofit">summary!$C$188</definedName>
    <definedName name="z_markezwei_konzernap_vwdms">summary!$C$184</definedName>
    <definedName name="z_markezwei_konzernap_wts">summary!$C$196</definedName>
    <definedName name="z_markezwei_konzernap_zmb">summary!$C$186</definedName>
    <definedName name="z_markezwei_kvs" localSheetId="6">[2]Zusammenfassung!$C$125</definedName>
    <definedName name="z_markezwei_kvs" localSheetId="9">[1]Zusammenfassung!$C$104</definedName>
    <definedName name="z_markezwei_kvs">summary!$C$125</definedName>
    <definedName name="z_markezwei_kvs_konzernap_abteilung">summary!$H$299</definedName>
    <definedName name="z_markezwei_kvs_konzernap_anrede">summary!$D$299</definedName>
    <definedName name="z_markezwei_kvs_konzernap_email">summary!$G$299</definedName>
    <definedName name="z_markezwei_kvs_konzernap_name">summary!$E$299</definedName>
    <definedName name="z_markezwei_kvs_konzernap_telefon">summary!$I$299</definedName>
    <definedName name="z_markezwei_kvs_konzernap_vorname">summary!$F$299</definedName>
    <definedName name="z_markezwei_marke" localSheetId="6">[2]Zusammenfassung!$C$124</definedName>
    <definedName name="z_markezwei_marke" localSheetId="9">[1]Zusammenfassung!$C$103</definedName>
    <definedName name="z_markezwei_marke">summary!$C$124</definedName>
    <definedName name="z_markezwei_mynet" localSheetId="6">[2]Zusammenfassung!$C$135</definedName>
    <definedName name="z_markezwei_mynet" localSheetId="9">[1]Zusammenfassung!$C$114</definedName>
    <definedName name="z_markezwei_mynet">summary!$C$135</definedName>
    <definedName name="z_markezwei_mynet_konzernap_abteilung">summary!$H$309</definedName>
    <definedName name="z_markezwei_mynet_konzernap_anrede">summary!$D$309</definedName>
    <definedName name="z_markezwei_mynet_konzernap_email">summary!$G$309</definedName>
    <definedName name="z_markezwei_mynet_konzernap_name">summary!$E$309</definedName>
    <definedName name="z_markezwei_mynet_konzernap_telefon">summary!$I$309</definedName>
    <definedName name="z_markezwei_mynet_konzernap_vorname">summary!$F$309</definedName>
    <definedName name="z_markezwei_oftp" localSheetId="6">[2]Zusammenfassung!$C$132</definedName>
    <definedName name="z_markezwei_oftp" localSheetId="9">[1]Zusammenfassung!$C$111</definedName>
    <definedName name="z_markezwei_oftp">summary!$C$132</definedName>
    <definedName name="z_markezwei_oftp_konzernap_abteilung">summary!$H$306</definedName>
    <definedName name="z_markezwei_oftp_konzernap_anrede">summary!$D$306</definedName>
    <definedName name="z_markezwei_oftp_konzernap_email">summary!$G$306</definedName>
    <definedName name="z_markezwei_oftp_konzernap_name">summary!$E$306</definedName>
    <definedName name="z_markezwei_oftp_konzernap_telefon">summary!$I$306</definedName>
    <definedName name="z_markezwei_oftp_konzernap_vorname">summary!$F$306</definedName>
    <definedName name="z_markezwei_qts" localSheetId="6">[2]Zusammenfassung!$C$137</definedName>
    <definedName name="z_markezwei_qts" localSheetId="9">[1]Zusammenfassung!$C$116</definedName>
    <definedName name="z_markezwei_qts">summary!$C$137</definedName>
    <definedName name="z_markezwei_qts_konzernap_abteilung">summary!$H$311</definedName>
    <definedName name="z_markezwei_qts_konzernap_anrede">summary!$D$311</definedName>
    <definedName name="z_markezwei_qts_konzernap_email">summary!$G$311</definedName>
    <definedName name="z_markezwei_qts_konzernap_name">summary!$E$311</definedName>
    <definedName name="z_markezwei_qts_konzernap_telefon">summary!$I$311</definedName>
    <definedName name="z_markezwei_qts_konzernap_vorname">summary!$F$311</definedName>
    <definedName name="z_markezwei_scf" localSheetId="6">[2]Zusammenfassung!$C$130</definedName>
    <definedName name="z_markezwei_scf" localSheetId="9">[1]Zusammenfassung!$C$109</definedName>
    <definedName name="z_markezwei_scf">summary!$C$130</definedName>
    <definedName name="z_markezwei_scf_konzernap_abteilung">summary!$H$304</definedName>
    <definedName name="z_markezwei_scf_konzernap_anrede">summary!$D$304</definedName>
    <definedName name="z_markezwei_scf_konzernap_email">summary!$G$304</definedName>
    <definedName name="z_markezwei_scf_konzernap_name">summary!$E$304</definedName>
    <definedName name="z_markezwei_scf_konzernap_telefon">summary!$I$304</definedName>
    <definedName name="z_markezwei_scf_konzernap_vorname">summary!$F$304</definedName>
    <definedName name="z_markezwei_simplx" localSheetId="6">[2]Zusammenfassung!$C$133</definedName>
    <definedName name="z_markezwei_simplx" localSheetId="9">[1]Zusammenfassung!$C$112</definedName>
    <definedName name="z_markezwei_simplx">summary!$C$133</definedName>
    <definedName name="z_markezwei_simplx_konzernap_abteilung">summary!$H$307</definedName>
    <definedName name="z_markezwei_simplx_konzernap_anrede">summary!$D$307</definedName>
    <definedName name="z_markezwei_simplx_konzernap_email">summary!$G$307</definedName>
    <definedName name="z_markezwei_simplx_konzernap_name">summary!$E$307</definedName>
    <definedName name="z_markezwei_simplx_konzernap_telefon">summary!$I$307</definedName>
    <definedName name="z_markezwei_simplx_konzernap_vorname">summary!$F$307</definedName>
    <definedName name="z_markezwei_sonstservice">summary!$C$143</definedName>
    <definedName name="z_markezwei_syncrofit" localSheetId="6">[2]Zusammenfassung!$C$131</definedName>
    <definedName name="z_markezwei_syncrofit" localSheetId="9">[1]Zusammenfassung!$C$110</definedName>
    <definedName name="z_markezwei_syncrofit">summary!$C$131</definedName>
    <definedName name="z_markezwei_syncrofit_konzernap_abteilung">summary!$H$305</definedName>
    <definedName name="z_markezwei_syncrofit_konzernap_anrede">summary!$D$305</definedName>
    <definedName name="z_markezwei_syncrofit_konzernap_email">summary!$G$305</definedName>
    <definedName name="z_markezwei_syncrofit_konzernap_name">summary!$E$305</definedName>
    <definedName name="z_markezwei_syncrofit_konzernap_telefon">summary!$I$305</definedName>
    <definedName name="z_markezwei_syncrofit_konzernap_vorname">summary!$F$305</definedName>
    <definedName name="z_markezwei_vwdms" localSheetId="6">[2]Zusammenfassung!$C$127</definedName>
    <definedName name="z_markezwei_vwdms" localSheetId="9">[1]Zusammenfassung!$C$106</definedName>
    <definedName name="z_markezwei_vwdms">summary!$C$127</definedName>
    <definedName name="z_markezwei_vwdms_konzernap_abteilung">summary!$H$301</definedName>
    <definedName name="z_markezwei_vwdms_konzernap_anrede">summary!$D$301</definedName>
    <definedName name="z_markezwei_vwdms_konzernap_email">summary!$G$301</definedName>
    <definedName name="z_markezwei_vwdms_konzernap_name">summary!$E$301</definedName>
    <definedName name="z_markezwei_vwdms_konzernap_telefon">summary!$I$301</definedName>
    <definedName name="z_markezwei_vwdms_konzernap_vorname">summary!$F$301</definedName>
    <definedName name="z_markezwei_vweportal">summary!$C$140</definedName>
    <definedName name="z_markezwei_vweportal_konzernap_abteilung">summary!$H$314</definedName>
    <definedName name="z_markezwei_vweportal_konzernap_anrede">summary!$D$314</definedName>
    <definedName name="z_markezwei_vweportal_konzernap_email">summary!$G$314</definedName>
    <definedName name="z_markezwei_vweportal_konzernap_name">summary!$E$314</definedName>
    <definedName name="z_markezwei_vweportal_konzernap_telefon">summary!$I$314</definedName>
    <definedName name="z_markezwei_vweportal_konzernap_vorname">summary!$F$314</definedName>
    <definedName name="z_markezwei_wts" localSheetId="6">[2]Zusammenfassung!$C$139</definedName>
    <definedName name="z_markezwei_wts" localSheetId="9">[1]Zusammenfassung!$C$118</definedName>
    <definedName name="z_markezwei_wts">summary!$C$139</definedName>
    <definedName name="z_markezwei_wts_konzernap_abteilung">summary!$H$313</definedName>
    <definedName name="z_markezwei_wts_konzernap_anrede">summary!$D$313</definedName>
    <definedName name="z_markezwei_wts_konzernap_email">summary!$G$313</definedName>
    <definedName name="z_markezwei_wts_konzernap_name">summary!$E$313</definedName>
    <definedName name="z_markezwei_wts_konzernap_telefon">summary!$I$313</definedName>
    <definedName name="z_markezwei_wts_konzernap_vorname">summary!$F$313</definedName>
    <definedName name="z_markezwei_zmb" localSheetId="6">[2]Zusammenfassung!$C$129</definedName>
    <definedName name="z_markezwei_zmb" localSheetId="9">[1]Zusammenfassung!$C$108</definedName>
    <definedName name="z_markezwei_zmb">summary!$C$129</definedName>
    <definedName name="z_markezwei_zmb_konzernap_abteilung">summary!$H$303</definedName>
    <definedName name="z_markezwei_zmb_konzernap_anrede">summary!$D$303</definedName>
    <definedName name="z_markezwei_zmb_konzernap_email">summary!$G$303</definedName>
    <definedName name="z_markezwei_zmb_konzernap_name">summary!$E$303</definedName>
    <definedName name="z_markezwei_zmb_konzernap_telefon">summary!$I$303</definedName>
    <definedName name="z_markezwei_zmb_konzernap_vorname">summary!$F$303</definedName>
    <definedName name="z_neuanbindung" localSheetId="6">[2]Unternehmensdaten!$B$7</definedName>
    <definedName name="z_neuanbindung" localSheetId="9">[1]Unternehmensdaten!$B$7</definedName>
    <definedName name="z_neuanbindung">'company data'!$B$7</definedName>
    <definedName name="z_ort_daten">summary!$C$42</definedName>
    <definedName name="Z_ort_land">summary!$C$26</definedName>
    <definedName name="z_ort_rechnung">summary!$C$25</definedName>
    <definedName name="z_ort_technisch">summary!$C$34</definedName>
    <definedName name="z_ort_vertrag">summary!$C$11</definedName>
    <definedName name="z_plz_daten">summary!$C$41</definedName>
    <definedName name="z_plz_rechnung">summary!$C$24</definedName>
    <definedName name="z_plz_technisch">summary!$C$33</definedName>
    <definedName name="z_plz_vertrag">summary!$C$10</definedName>
    <definedName name="z_strasse_daten">summary!$C$40</definedName>
    <definedName name="z_strasse_rechnung">summary!$C$23</definedName>
    <definedName name="z_strasse_technisch">summary!$C$32</definedName>
    <definedName name="z_strasse_vertrag">summary!$C$9</definedName>
    <definedName name="z_tisax_standorttechnisch">summary!$C$223</definedName>
    <definedName name="z_tisax_vertragsnehmer">summary!$C$222</definedName>
    <definedName name="z_tisax_zusatzstandort0">summary!$C$224</definedName>
    <definedName name="z_tisax_zusatzstandort1">summary!$C$225</definedName>
    <definedName name="z_tisax_zusatzstandort10">summary!$C$234</definedName>
    <definedName name="z_tisax_zusatzstandort11">summary!$C$235</definedName>
    <definedName name="z_tisax_zusatzstandort12">summary!$C$236</definedName>
    <definedName name="z_tisax_zusatzstandort13">summary!$C$237</definedName>
    <definedName name="z_tisax_zusatzstandort14">summary!$C$238</definedName>
    <definedName name="z_tisax_zusatzstandort15">summary!$C$239</definedName>
    <definedName name="z_tisax_zusatzstandort16">summary!$C$240</definedName>
    <definedName name="z_tisax_zusatzstandort17">summary!$C$241</definedName>
    <definedName name="z_tisax_zusatzstandort18">summary!$C$242</definedName>
    <definedName name="z_tisax_zusatzstandort19">summary!$C$243</definedName>
    <definedName name="z_tisax_zusatzstandort2">summary!$C$226</definedName>
    <definedName name="z_tisax_zusatzstandort20">summary!$C$244</definedName>
    <definedName name="z_tisax_zusatzstandort3">summary!$C$227</definedName>
    <definedName name="z_tisax_zusatzstandort4">summary!$C$228</definedName>
    <definedName name="z_tisax_zusatzstandort5">summary!$C$229</definedName>
    <definedName name="z_tisax_zusatzstandort6">summary!$C$230</definedName>
    <definedName name="z_tisax_zusatzstandort7">summary!$C$231</definedName>
    <definedName name="z_tisax_zusatzstandort8">summary!$C$232</definedName>
    <definedName name="z_tisax_zusatzstandort9">summary!$C$233</definedName>
    <definedName name="z_ustid_vertrag">summary!$C$16</definedName>
    <definedName name="z_zusatzstandort_aussage_beauftragung">summary!$C$45</definedName>
    <definedName name="Zusatzstandort1" localSheetId="6">'status of TISAX assessment'!$C$6:$H$6</definedName>
    <definedName name="Zusatzstandort1" localSheetId="9">'TISAX information'!#REF!</definedName>
    <definedName name="Zusatzstandort1">'add on data access locations'!$B$6:$G$6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1" i="21" l="1"/>
  <c r="C36" i="22" l="1"/>
  <c r="I7" i="22"/>
  <c r="B67" i="16" l="1"/>
  <c r="B66" i="16"/>
  <c r="B65" i="16"/>
  <c r="B64" i="16"/>
  <c r="B63" i="16"/>
  <c r="B62" i="16"/>
  <c r="B61" i="16"/>
  <c r="B60" i="16"/>
  <c r="B59" i="16"/>
  <c r="B58" i="16"/>
  <c r="B57" i="16"/>
  <c r="B56" i="16"/>
  <c r="B55" i="16"/>
  <c r="B54" i="16"/>
  <c r="B53" i="16"/>
  <c r="B52" i="16"/>
  <c r="B51" i="16"/>
  <c r="B50" i="16"/>
  <c r="B49" i="16"/>
  <c r="H14" i="16"/>
  <c r="H15" i="16"/>
  <c r="H20" i="16"/>
  <c r="H29" i="16"/>
  <c r="H30" i="16"/>
  <c r="H36" i="16"/>
  <c r="H37" i="16"/>
  <c r="H38" i="16"/>
  <c r="H47" i="16"/>
  <c r="H49" i="16"/>
  <c r="H50" i="16"/>
  <c r="H51" i="16"/>
  <c r="H52" i="16"/>
  <c r="H53" i="16"/>
  <c r="H54" i="16"/>
  <c r="H55" i="16"/>
  <c r="H56" i="16"/>
  <c r="H57" i="16"/>
  <c r="H58" i="16"/>
  <c r="H59" i="16"/>
  <c r="H60" i="16"/>
  <c r="H61" i="16"/>
  <c r="H62" i="16"/>
  <c r="H63" i="16"/>
  <c r="H64" i="16"/>
  <c r="H65" i="16"/>
  <c r="H66" i="16"/>
  <c r="H67" i="16"/>
  <c r="C49" i="16"/>
  <c r="C50" i="16"/>
  <c r="C51" i="16"/>
  <c r="C52" i="16"/>
  <c r="C53" i="16"/>
  <c r="C54" i="16"/>
  <c r="C55" i="16"/>
  <c r="C56" i="16"/>
  <c r="C57" i="16"/>
  <c r="C58" i="16"/>
  <c r="C59" i="16"/>
  <c r="C60" i="16"/>
  <c r="C61" i="16"/>
  <c r="C62" i="16"/>
  <c r="C63" i="16"/>
  <c r="C64" i="16"/>
  <c r="C65" i="16"/>
  <c r="C66" i="16"/>
  <c r="C67" i="16"/>
  <c r="D49" i="16"/>
  <c r="D50" i="16"/>
  <c r="D51" i="16"/>
  <c r="D52" i="16"/>
  <c r="D53" i="16"/>
  <c r="D54" i="16"/>
  <c r="D55" i="16"/>
  <c r="D56" i="16"/>
  <c r="D57" i="16"/>
  <c r="D58" i="16"/>
  <c r="D59" i="16"/>
  <c r="D60" i="16"/>
  <c r="D61" i="16"/>
  <c r="D62" i="16"/>
  <c r="D63" i="16"/>
  <c r="D64" i="16"/>
  <c r="D65" i="16"/>
  <c r="D66" i="16"/>
  <c r="D67" i="16"/>
  <c r="B242" i="16"/>
  <c r="C242" i="16"/>
  <c r="D242" i="16" s="1"/>
  <c r="H242" i="16" s="1"/>
  <c r="B243" i="16"/>
  <c r="C243" i="16"/>
  <c r="D243" i="16" s="1"/>
  <c r="H243" i="16" s="1"/>
  <c r="B244" i="16"/>
  <c r="C244" i="16"/>
  <c r="D244" i="16" s="1"/>
  <c r="H244" i="16" s="1"/>
  <c r="C27" i="28"/>
  <c r="D27" i="28"/>
  <c r="E27" i="28"/>
  <c r="F27" i="28"/>
  <c r="G27" i="28"/>
  <c r="H27" i="28"/>
  <c r="N27" i="28"/>
  <c r="M27" i="28" s="1"/>
  <c r="O27" i="28"/>
  <c r="R27" i="28"/>
  <c r="P27" i="28" s="1"/>
  <c r="S27" i="28"/>
  <c r="C28" i="28"/>
  <c r="D28" i="28"/>
  <c r="E28" i="28"/>
  <c r="F28" i="28"/>
  <c r="G28" i="28"/>
  <c r="H28" i="28"/>
  <c r="N28" i="28"/>
  <c r="M28" i="28" s="1"/>
  <c r="O28" i="28"/>
  <c r="R28" i="28"/>
  <c r="P28" i="28" s="1"/>
  <c r="S28" i="28"/>
  <c r="C29" i="28"/>
  <c r="D29" i="28"/>
  <c r="E29" i="28"/>
  <c r="F29" i="28"/>
  <c r="G29" i="28"/>
  <c r="H29" i="28"/>
  <c r="M29" i="28"/>
  <c r="N29" i="28"/>
  <c r="O29" i="28"/>
  <c r="R29" i="28"/>
  <c r="P29" i="28" s="1"/>
  <c r="S29" i="28"/>
  <c r="D36" i="22" l="1"/>
  <c r="D27" i="16" l="1"/>
  <c r="H27" i="16" s="1"/>
  <c r="H179" i="16" l="1"/>
  <c r="H180" i="16"/>
  <c r="H181" i="16"/>
  <c r="H202" i="16" l="1"/>
  <c r="H203" i="16"/>
  <c r="H211" i="16"/>
  <c r="H212" i="16"/>
  <c r="H218" i="16"/>
  <c r="H219" i="16"/>
  <c r="H220" i="16"/>
  <c r="H245" i="16"/>
  <c r="C241" i="16"/>
  <c r="D241" i="16" s="1"/>
  <c r="H241" i="16" s="1"/>
  <c r="C240" i="16"/>
  <c r="D240" i="16" s="1"/>
  <c r="H240" i="16" s="1"/>
  <c r="C239" i="16"/>
  <c r="D239" i="16" s="1"/>
  <c r="H239" i="16" s="1"/>
  <c r="C238" i="16"/>
  <c r="D238" i="16" s="1"/>
  <c r="H238" i="16" s="1"/>
  <c r="C237" i="16"/>
  <c r="D237" i="16" s="1"/>
  <c r="H237" i="16" s="1"/>
  <c r="C236" i="16"/>
  <c r="D236" i="16" s="1"/>
  <c r="H236" i="16" s="1"/>
  <c r="C235" i="16"/>
  <c r="D235" i="16" s="1"/>
  <c r="H235" i="16" s="1"/>
  <c r="C234" i="16"/>
  <c r="D234" i="16" s="1"/>
  <c r="H234" i="16" s="1"/>
  <c r="C233" i="16"/>
  <c r="D233" i="16" s="1"/>
  <c r="H233" i="16" s="1"/>
  <c r="C232" i="16"/>
  <c r="D232" i="16" s="1"/>
  <c r="H232" i="16" s="1"/>
  <c r="C231" i="16"/>
  <c r="D231" i="16" s="1"/>
  <c r="H231" i="16" s="1"/>
  <c r="C230" i="16"/>
  <c r="D230" i="16" s="1"/>
  <c r="H230" i="16" s="1"/>
  <c r="C229" i="16"/>
  <c r="D229" i="16" s="1"/>
  <c r="H229" i="16" s="1"/>
  <c r="C228" i="16"/>
  <c r="D228" i="16" s="1"/>
  <c r="H228" i="16" s="1"/>
  <c r="C227" i="16"/>
  <c r="D227" i="16" s="1"/>
  <c r="H227" i="16" s="1"/>
  <c r="C226" i="16"/>
  <c r="D226" i="16" s="1"/>
  <c r="H226" i="16" s="1"/>
  <c r="B241" i="16"/>
  <c r="B240" i="16"/>
  <c r="B239" i="16"/>
  <c r="B238" i="16"/>
  <c r="B237" i="16"/>
  <c r="B236" i="16"/>
  <c r="B235" i="16"/>
  <c r="B234" i="16"/>
  <c r="B233" i="16"/>
  <c r="B232" i="16"/>
  <c r="B231" i="16"/>
  <c r="B230" i="16"/>
  <c r="B229" i="16"/>
  <c r="B228" i="16"/>
  <c r="B227" i="16"/>
  <c r="B226" i="16"/>
  <c r="C7" i="16"/>
  <c r="D7" i="16" s="1"/>
  <c r="H7" i="16" s="1"/>
  <c r="R26" i="28" l="1"/>
  <c r="R25" i="28"/>
  <c r="R24" i="28"/>
  <c r="R23" i="28"/>
  <c r="R22" i="28"/>
  <c r="R21" i="28"/>
  <c r="R20" i="28"/>
  <c r="R19" i="28"/>
  <c r="R18" i="28"/>
  <c r="R17" i="28"/>
  <c r="R16" i="28"/>
  <c r="R15" i="28"/>
  <c r="R14" i="28"/>
  <c r="R13" i="28"/>
  <c r="R12" i="28"/>
  <c r="R11" i="28"/>
  <c r="R10" i="28"/>
  <c r="R8" i="28"/>
  <c r="R7" i="28"/>
  <c r="R6" i="28"/>
  <c r="N26" i="28"/>
  <c r="M26" i="28" s="1"/>
  <c r="T26" i="28" s="1"/>
  <c r="N25" i="28"/>
  <c r="M25" i="28" s="1"/>
  <c r="T25" i="28" s="1"/>
  <c r="N24" i="28"/>
  <c r="M24" i="28" s="1"/>
  <c r="T24" i="28" s="1"/>
  <c r="N23" i="28"/>
  <c r="M23" i="28" s="1"/>
  <c r="T23" i="28" s="1"/>
  <c r="N22" i="28"/>
  <c r="M22" i="28" s="1"/>
  <c r="T22" i="28" s="1"/>
  <c r="N21" i="28"/>
  <c r="M21" i="28" s="1"/>
  <c r="T21" i="28" s="1"/>
  <c r="N20" i="28"/>
  <c r="N19" i="28"/>
  <c r="N18" i="28"/>
  <c r="M18" i="28" s="1"/>
  <c r="T18" i="28" s="1"/>
  <c r="N17" i="28"/>
  <c r="M17" i="28" s="1"/>
  <c r="T17" i="28" s="1"/>
  <c r="N16" i="28"/>
  <c r="M16" i="28" s="1"/>
  <c r="T16" i="28" s="1"/>
  <c r="N15" i="28"/>
  <c r="M15" i="28" s="1"/>
  <c r="T15" i="28" s="1"/>
  <c r="N14" i="28"/>
  <c r="M14" i="28" s="1"/>
  <c r="T14" i="28" s="1"/>
  <c r="N13" i="28"/>
  <c r="M13" i="28" s="1"/>
  <c r="T13" i="28" s="1"/>
  <c r="N12" i="28"/>
  <c r="N11" i="28"/>
  <c r="M11" i="28"/>
  <c r="T11" i="28" s="1"/>
  <c r="N10" i="28"/>
  <c r="N8" i="28"/>
  <c r="N7" i="28"/>
  <c r="N6" i="28"/>
  <c r="M20" i="28"/>
  <c r="T20" i="28" s="1"/>
  <c r="M19" i="28"/>
  <c r="T19" i="28" s="1"/>
  <c r="M12" i="28"/>
  <c r="T12" i="28" s="1"/>
  <c r="C222" i="16" l="1"/>
  <c r="M10" i="28"/>
  <c r="T10" i="28" s="1"/>
  <c r="C225" i="16"/>
  <c r="D225" i="16" s="1"/>
  <c r="H225" i="16" s="1"/>
  <c r="M7" i="28"/>
  <c r="T7" i="28" s="1"/>
  <c r="C223" i="16"/>
  <c r="D223" i="16" s="1"/>
  <c r="H223" i="16" s="1"/>
  <c r="C224" i="16"/>
  <c r="D224" i="16" s="1"/>
  <c r="H224" i="16" s="1"/>
  <c r="M8" i="28"/>
  <c r="T8" i="28" s="1"/>
  <c r="H8" i="28"/>
  <c r="H7" i="28"/>
  <c r="H6" i="28"/>
  <c r="H26" i="28"/>
  <c r="H25" i="28"/>
  <c r="H24" i="28"/>
  <c r="H23" i="28"/>
  <c r="H22" i="28"/>
  <c r="H21" i="28"/>
  <c r="H20" i="28"/>
  <c r="H19" i="28"/>
  <c r="H18" i="28"/>
  <c r="H17" i="28"/>
  <c r="H16" i="28"/>
  <c r="H15" i="28"/>
  <c r="H14" i="28"/>
  <c r="H13" i="28"/>
  <c r="H12" i="28"/>
  <c r="H11" i="28"/>
  <c r="H10" i="28"/>
  <c r="G26" i="28"/>
  <c r="F26" i="28"/>
  <c r="E26" i="28"/>
  <c r="D26" i="28"/>
  <c r="C26" i="28"/>
  <c r="G25" i="28"/>
  <c r="F25" i="28"/>
  <c r="E25" i="28"/>
  <c r="D25" i="28"/>
  <c r="C25" i="28"/>
  <c r="G24" i="28"/>
  <c r="F24" i="28"/>
  <c r="E24" i="28"/>
  <c r="D24" i="28"/>
  <c r="C24" i="28"/>
  <c r="G23" i="28"/>
  <c r="F23" i="28"/>
  <c r="E23" i="28"/>
  <c r="D23" i="28"/>
  <c r="C23" i="28"/>
  <c r="G22" i="28"/>
  <c r="F22" i="28"/>
  <c r="E22" i="28"/>
  <c r="D22" i="28"/>
  <c r="C22" i="28"/>
  <c r="G21" i="28"/>
  <c r="F21" i="28"/>
  <c r="E21" i="28"/>
  <c r="D21" i="28"/>
  <c r="C21" i="28"/>
  <c r="G20" i="28"/>
  <c r="F20" i="28"/>
  <c r="E20" i="28"/>
  <c r="D20" i="28"/>
  <c r="C20" i="28"/>
  <c r="G19" i="28"/>
  <c r="F19" i="28"/>
  <c r="E19" i="28"/>
  <c r="D19" i="28"/>
  <c r="C19" i="28"/>
  <c r="G18" i="28"/>
  <c r="F18" i="28"/>
  <c r="E18" i="28"/>
  <c r="D18" i="28"/>
  <c r="C18" i="28"/>
  <c r="G17" i="28"/>
  <c r="F17" i="28"/>
  <c r="E17" i="28"/>
  <c r="D17" i="28"/>
  <c r="C17" i="28"/>
  <c r="G16" i="28"/>
  <c r="F16" i="28"/>
  <c r="E16" i="28"/>
  <c r="D16" i="28"/>
  <c r="C16" i="28"/>
  <c r="G15" i="28"/>
  <c r="F15" i="28"/>
  <c r="E15" i="28"/>
  <c r="D15" i="28"/>
  <c r="C15" i="28"/>
  <c r="G14" i="28"/>
  <c r="F14" i="28"/>
  <c r="E14" i="28"/>
  <c r="D14" i="28"/>
  <c r="C14" i="28"/>
  <c r="G13" i="28"/>
  <c r="F13" i="28"/>
  <c r="E13" i="28"/>
  <c r="D13" i="28"/>
  <c r="C13" i="28"/>
  <c r="G12" i="28"/>
  <c r="F12" i="28"/>
  <c r="E12" i="28"/>
  <c r="D12" i="28"/>
  <c r="C12" i="28"/>
  <c r="G11" i="28"/>
  <c r="F11" i="28"/>
  <c r="E11" i="28"/>
  <c r="D11" i="28"/>
  <c r="C11" i="28"/>
  <c r="G10" i="28"/>
  <c r="F10" i="28"/>
  <c r="E10" i="28"/>
  <c r="D10" i="28"/>
  <c r="C10" i="28"/>
  <c r="C7" i="28"/>
  <c r="B223" i="16" s="1"/>
  <c r="G8" i="28"/>
  <c r="G7" i="28"/>
  <c r="F7" i="28"/>
  <c r="E7" i="28"/>
  <c r="D7" i="28"/>
  <c r="G6" i="28"/>
  <c r="F6" i="28"/>
  <c r="E6" i="28"/>
  <c r="D6" i="28"/>
  <c r="F8" i="28"/>
  <c r="E8" i="28"/>
  <c r="D8" i="28"/>
  <c r="C8" i="28"/>
  <c r="C6" i="28"/>
  <c r="B222" i="16" s="1"/>
  <c r="D221" i="16" l="1"/>
  <c r="D222" i="16"/>
  <c r="H222" i="16" s="1"/>
  <c r="H221" i="16" s="1"/>
  <c r="B225" i="16"/>
  <c r="B224" i="16"/>
  <c r="S26" i="28"/>
  <c r="P26" i="28"/>
  <c r="O26" i="28"/>
  <c r="S25" i="28"/>
  <c r="P25" i="28"/>
  <c r="O25" i="28"/>
  <c r="S24" i="28"/>
  <c r="P24" i="28"/>
  <c r="O24" i="28"/>
  <c r="S23" i="28"/>
  <c r="P23" i="28"/>
  <c r="O23" i="28"/>
  <c r="S22" i="28"/>
  <c r="P22" i="28"/>
  <c r="O22" i="28"/>
  <c r="S21" i="28"/>
  <c r="P21" i="28"/>
  <c r="O21" i="28"/>
  <c r="S20" i="28"/>
  <c r="P20" i="28"/>
  <c r="O20" i="28"/>
  <c r="S19" i="28"/>
  <c r="P19" i="28"/>
  <c r="O19" i="28"/>
  <c r="S18" i="28"/>
  <c r="P18" i="28"/>
  <c r="O18" i="28"/>
  <c r="S17" i="28"/>
  <c r="P17" i="28"/>
  <c r="O17" i="28"/>
  <c r="S16" i="28"/>
  <c r="P16" i="28"/>
  <c r="O16" i="28"/>
  <c r="S15" i="28"/>
  <c r="P15" i="28"/>
  <c r="O15" i="28"/>
  <c r="S14" i="28"/>
  <c r="P14" i="28"/>
  <c r="O14" i="28"/>
  <c r="S13" i="28"/>
  <c r="P13" i="28"/>
  <c r="O13" i="28"/>
  <c r="S12" i="28"/>
  <c r="P12" i="28"/>
  <c r="O12" i="28"/>
  <c r="S11" i="28"/>
  <c r="P11" i="28"/>
  <c r="O11" i="28"/>
  <c r="S10" i="28"/>
  <c r="P10" i="28"/>
  <c r="O10" i="28"/>
  <c r="S8" i="28"/>
  <c r="P8" i="28"/>
  <c r="O8" i="28"/>
  <c r="S7" i="28"/>
  <c r="P7" i="28"/>
  <c r="O7" i="28"/>
  <c r="S6" i="28"/>
  <c r="P6" i="28"/>
  <c r="O6" i="28"/>
  <c r="M6" i="28" l="1"/>
  <c r="T6" i="28" s="1"/>
  <c r="F24" i="22"/>
  <c r="A48" i="22"/>
  <c r="D26" i="22"/>
  <c r="A40" i="22"/>
  <c r="D25" i="22" l="1"/>
  <c r="D35" i="22"/>
  <c r="C13" i="22"/>
  <c r="C10" i="22"/>
  <c r="I13" i="22"/>
  <c r="B56" i="15" l="1"/>
  <c r="B95" i="15" l="1"/>
  <c r="B96" i="15" s="1"/>
  <c r="B94" i="15"/>
  <c r="B87" i="15"/>
  <c r="B88" i="15" s="1"/>
  <c r="B86" i="15"/>
  <c r="B97" i="15" l="1"/>
  <c r="B99" i="15" s="1"/>
  <c r="B98" i="15"/>
  <c r="B90" i="15"/>
  <c r="B108" i="15"/>
  <c r="B89" i="15"/>
  <c r="B104" i="15"/>
  <c r="B105" i="15"/>
  <c r="G7" i="22"/>
  <c r="C108" i="15" l="1"/>
  <c r="B107" i="15"/>
  <c r="B109" i="15" s="1"/>
  <c r="D19" i="15" s="1"/>
  <c r="B91" i="15"/>
  <c r="B92" i="15" s="1"/>
  <c r="D111" i="16" s="1"/>
  <c r="B100" i="15"/>
  <c r="D133" i="16" s="1"/>
  <c r="C2" i="27"/>
  <c r="F7" i="22"/>
  <c r="C5" i="16" s="1"/>
  <c r="D5" i="16" s="1"/>
  <c r="C6" i="16"/>
  <c r="D6" i="16" s="1"/>
  <c r="H6" i="16" s="1"/>
  <c r="C8" i="16"/>
  <c r="C29" i="22"/>
  <c r="I10" i="22"/>
  <c r="C45" i="16" l="1"/>
  <c r="H155" i="16" l="1"/>
  <c r="H154" i="16"/>
  <c r="H152" i="16"/>
  <c r="H141" i="16"/>
  <c r="H140" i="16"/>
  <c r="H138" i="16"/>
  <c r="H136" i="16"/>
  <c r="H131" i="16"/>
  <c r="H130" i="16"/>
  <c r="H129" i="16"/>
  <c r="H128" i="16"/>
  <c r="H127" i="16"/>
  <c r="H119" i="16"/>
  <c r="H118" i="16"/>
  <c r="H116" i="16"/>
  <c r="H114" i="16"/>
  <c r="H109" i="16"/>
  <c r="H108" i="16"/>
  <c r="H107" i="16"/>
  <c r="H106" i="16"/>
  <c r="H105" i="16"/>
  <c r="H98" i="16"/>
  <c r="H97" i="16"/>
  <c r="H96" i="16"/>
  <c r="H95" i="16"/>
  <c r="H94" i="16"/>
  <c r="H93" i="16"/>
  <c r="H92" i="16"/>
  <c r="H90" i="16"/>
  <c r="H89" i="16"/>
  <c r="H88" i="16"/>
  <c r="H87" i="16"/>
  <c r="H85" i="16"/>
  <c r="H84" i="16"/>
  <c r="H82" i="16"/>
  <c r="H81" i="16"/>
  <c r="H80" i="16"/>
  <c r="H79" i="16"/>
  <c r="H77" i="16"/>
  <c r="H76" i="16"/>
  <c r="D124" i="16"/>
  <c r="H124" i="16" s="1"/>
  <c r="F144" i="16" l="1"/>
  <c r="C86" i="16" l="1"/>
  <c r="C78" i="16"/>
  <c r="B82" i="15" l="1"/>
  <c r="D24" i="15" s="1"/>
  <c r="K42" i="15"/>
  <c r="K41" i="15"/>
  <c r="C24" i="22"/>
  <c r="N41" i="15" l="1"/>
  <c r="J24" i="15" s="1"/>
  <c r="B70" i="15" l="1"/>
  <c r="B44" i="21" l="1"/>
  <c r="B21" i="21"/>
  <c r="B18" i="21"/>
  <c r="P62" i="22"/>
  <c r="P63" i="22" s="1"/>
  <c r="C55" i="22" l="1"/>
  <c r="B80" i="15"/>
  <c r="B81" i="15" s="1"/>
  <c r="C144" i="16"/>
  <c r="B160" i="16"/>
  <c r="B181" i="16"/>
  <c r="D6" i="15"/>
  <c r="Q35" i="21"/>
  <c r="Q36" i="21"/>
  <c r="Q37" i="21"/>
  <c r="Q38" i="21"/>
  <c r="Q39" i="21"/>
  <c r="Q40" i="21"/>
  <c r="Q41" i="21"/>
  <c r="Q42" i="21"/>
  <c r="Q43" i="21"/>
  <c r="Q44" i="21"/>
  <c r="Q45" i="21"/>
  <c r="Q46" i="21"/>
  <c r="Q47" i="21"/>
  <c r="Q48" i="21"/>
  <c r="Q49" i="21"/>
  <c r="Q50" i="21"/>
  <c r="Q51" i="21"/>
  <c r="Q34" i="21"/>
  <c r="Q12" i="21"/>
  <c r="Q13" i="21"/>
  <c r="Q14" i="21"/>
  <c r="Q15" i="21"/>
  <c r="Q16" i="21"/>
  <c r="Q17" i="21"/>
  <c r="Q18" i="21"/>
  <c r="Q19" i="21"/>
  <c r="Q20" i="21"/>
  <c r="Q21" i="21"/>
  <c r="Q22" i="21"/>
  <c r="Q23" i="21"/>
  <c r="Q24" i="21"/>
  <c r="Q25" i="21"/>
  <c r="Q26" i="21"/>
  <c r="Q27" i="21"/>
  <c r="Q28" i="21"/>
  <c r="D28" i="15" l="1"/>
  <c r="F121" i="16" s="1"/>
  <c r="C121" i="16" s="1"/>
  <c r="D142" i="16"/>
  <c r="H142" i="16" s="1"/>
  <c r="D120" i="16"/>
  <c r="H120" i="16" s="1"/>
  <c r="D144" i="16"/>
  <c r="H144" i="16" s="1"/>
  <c r="F143" i="16" l="1"/>
  <c r="C143" i="16" s="1"/>
  <c r="A56" i="22"/>
  <c r="C46" i="16"/>
  <c r="C35" i="22"/>
  <c r="I36" i="22" s="1"/>
  <c r="C27" i="16"/>
  <c r="C19" i="16"/>
  <c r="D19" i="16" s="1"/>
  <c r="H19" i="16" s="1"/>
  <c r="C18" i="16"/>
  <c r="D45" i="16" s="1"/>
  <c r="H45" i="16" s="1"/>
  <c r="B78" i="15"/>
  <c r="C78" i="15" s="1"/>
  <c r="D78" i="15" s="1"/>
  <c r="C200" i="16" l="1"/>
  <c r="D29" i="15"/>
  <c r="C29" i="21"/>
  <c r="C53" i="21"/>
  <c r="C179" i="16"/>
  <c r="B55" i="15"/>
  <c r="B58" i="15"/>
  <c r="B57" i="15"/>
  <c r="C54" i="22"/>
  <c r="C53" i="22"/>
  <c r="C27" i="22"/>
  <c r="I27" i="22"/>
  <c r="C250" i="16" l="1"/>
  <c r="D18" i="15"/>
  <c r="I55" i="22"/>
  <c r="O27" i="22"/>
  <c r="O56" i="22" l="1"/>
  <c r="I56" i="22" s="1"/>
  <c r="B58" i="22"/>
  <c r="O25" i="27"/>
  <c r="N25" i="27"/>
  <c r="M25" i="27"/>
  <c r="L25" i="27"/>
  <c r="K25" i="27"/>
  <c r="J25" i="27"/>
  <c r="O24" i="27"/>
  <c r="N24" i="27"/>
  <c r="M24" i="27"/>
  <c r="L24" i="27"/>
  <c r="K24" i="27"/>
  <c r="J24" i="27"/>
  <c r="O23" i="27"/>
  <c r="N23" i="27"/>
  <c r="M23" i="27"/>
  <c r="L23" i="27"/>
  <c r="K23" i="27"/>
  <c r="J23" i="27"/>
  <c r="O22" i="27"/>
  <c r="N22" i="27"/>
  <c r="M22" i="27"/>
  <c r="P22" i="27" s="1"/>
  <c r="L22" i="27"/>
  <c r="K22" i="27"/>
  <c r="J22" i="27"/>
  <c r="O21" i="27"/>
  <c r="N21" i="27"/>
  <c r="M21" i="27"/>
  <c r="L21" i="27"/>
  <c r="K21" i="27"/>
  <c r="J21" i="27"/>
  <c r="O20" i="27"/>
  <c r="N20" i="27"/>
  <c r="M20" i="27"/>
  <c r="L20" i="27"/>
  <c r="K20" i="27"/>
  <c r="J20" i="27"/>
  <c r="P20" i="27" s="1"/>
  <c r="H20" i="27" s="1"/>
  <c r="O19" i="27"/>
  <c r="N19" i="27"/>
  <c r="M19" i="27"/>
  <c r="L19" i="27"/>
  <c r="K19" i="27"/>
  <c r="J19" i="27"/>
  <c r="O18" i="27"/>
  <c r="N18" i="27"/>
  <c r="M18" i="27"/>
  <c r="L18" i="27"/>
  <c r="K18" i="27"/>
  <c r="J18" i="27"/>
  <c r="O17" i="27"/>
  <c r="N17" i="27"/>
  <c r="M17" i="27"/>
  <c r="L17" i="27"/>
  <c r="K17" i="27"/>
  <c r="J17" i="27"/>
  <c r="O16" i="27"/>
  <c r="N16" i="27"/>
  <c r="M16" i="27"/>
  <c r="L16" i="27"/>
  <c r="K16" i="27"/>
  <c r="J16" i="27"/>
  <c r="O15" i="27"/>
  <c r="P15" i="27" s="1"/>
  <c r="H15" i="27" s="1"/>
  <c r="N15" i="27"/>
  <c r="M15" i="27"/>
  <c r="L15" i="27"/>
  <c r="K15" i="27"/>
  <c r="J15" i="27"/>
  <c r="O14" i="27"/>
  <c r="N14" i="27"/>
  <c r="M14" i="27"/>
  <c r="L14" i="27"/>
  <c r="K14" i="27"/>
  <c r="J14" i="27"/>
  <c r="O13" i="27"/>
  <c r="N13" i="27"/>
  <c r="M13" i="27"/>
  <c r="L13" i="27"/>
  <c r="K13" i="27"/>
  <c r="J13" i="27"/>
  <c r="O12" i="27"/>
  <c r="N12" i="27"/>
  <c r="M12" i="27"/>
  <c r="L12" i="27"/>
  <c r="K12" i="27"/>
  <c r="J12" i="27"/>
  <c r="P12" i="27" s="1"/>
  <c r="H12" i="27" s="1"/>
  <c r="O11" i="27"/>
  <c r="N11" i="27"/>
  <c r="M11" i="27"/>
  <c r="L11" i="27"/>
  <c r="K11" i="27"/>
  <c r="J11" i="27"/>
  <c r="O10" i="27"/>
  <c r="N10" i="27"/>
  <c r="M10" i="27"/>
  <c r="L10" i="27"/>
  <c r="K10" i="27"/>
  <c r="J10" i="27"/>
  <c r="O9" i="27"/>
  <c r="N9" i="27"/>
  <c r="M9" i="27"/>
  <c r="L9" i="27"/>
  <c r="K9" i="27"/>
  <c r="J9" i="27"/>
  <c r="O8" i="27"/>
  <c r="N8" i="27"/>
  <c r="M8" i="27"/>
  <c r="L8" i="27"/>
  <c r="K8" i="27"/>
  <c r="J8" i="27"/>
  <c r="O7" i="27"/>
  <c r="N7" i="27"/>
  <c r="M7" i="27"/>
  <c r="L7" i="27"/>
  <c r="K7" i="27"/>
  <c r="J7" i="27"/>
  <c r="O6" i="27"/>
  <c r="N6" i="27"/>
  <c r="M6" i="27"/>
  <c r="L6" i="27"/>
  <c r="K6" i="27"/>
  <c r="J6" i="27"/>
  <c r="C48" i="16" l="1"/>
  <c r="B48" i="16"/>
  <c r="P11" i="27"/>
  <c r="H11" i="27" s="1"/>
  <c r="P14" i="27"/>
  <c r="H14" i="27" s="1"/>
  <c r="Q22" i="27"/>
  <c r="H22" i="27"/>
  <c r="P25" i="27"/>
  <c r="H25" i="27" s="1"/>
  <c r="P8" i="27"/>
  <c r="H8" i="27" s="1"/>
  <c r="P10" i="27"/>
  <c r="H10" i="27" s="1"/>
  <c r="P16" i="27"/>
  <c r="H16" i="27" s="1"/>
  <c r="P9" i="27"/>
  <c r="H9" i="27" s="1"/>
  <c r="P13" i="27"/>
  <c r="H13" i="27" s="1"/>
  <c r="P24" i="27"/>
  <c r="H24" i="27" s="1"/>
  <c r="P23" i="27"/>
  <c r="H23" i="27" s="1"/>
  <c r="P17" i="27"/>
  <c r="H17" i="27" s="1"/>
  <c r="P19" i="27"/>
  <c r="H19" i="27" s="1"/>
  <c r="P7" i="27"/>
  <c r="H7" i="27" s="1"/>
  <c r="P18" i="27"/>
  <c r="H18" i="27" s="1"/>
  <c r="P21" i="27"/>
  <c r="H21" i="27" s="1"/>
  <c r="P6" i="27"/>
  <c r="H6" i="27" s="1"/>
  <c r="D48" i="16" s="1"/>
  <c r="H48" i="16" s="1"/>
  <c r="Q15" i="27"/>
  <c r="Q21" i="27"/>
  <c r="Q9" i="27"/>
  <c r="Q20" i="27"/>
  <c r="Q12" i="27"/>
  <c r="Q11" i="27"/>
  <c r="Q14" i="27"/>
  <c r="Q8" i="27" l="1"/>
  <c r="Q16" i="27"/>
  <c r="Q7" i="27"/>
  <c r="Q25" i="27"/>
  <c r="Q10" i="27"/>
  <c r="Q17" i="27"/>
  <c r="Q23" i="27"/>
  <c r="Q19" i="27"/>
  <c r="Q18" i="27"/>
  <c r="Q24" i="27"/>
  <c r="Q13" i="27"/>
  <c r="P5" i="27"/>
  <c r="Q6" i="27"/>
  <c r="R5" i="27" s="1"/>
  <c r="I26" i="22"/>
  <c r="O26" i="22"/>
  <c r="C56" i="22" l="1"/>
  <c r="I57" i="22" s="1"/>
  <c r="I25" i="22"/>
  <c r="D18" i="16"/>
  <c r="H18" i="16" s="1"/>
  <c r="C25" i="22"/>
  <c r="Q5" i="27"/>
  <c r="D46" i="16" s="1"/>
  <c r="C26" i="22"/>
  <c r="D23" i="16"/>
  <c r="H23" i="16" s="1"/>
  <c r="D24" i="16"/>
  <c r="H24" i="16" s="1"/>
  <c r="D25" i="16"/>
  <c r="H25" i="16" s="1"/>
  <c r="D26" i="16"/>
  <c r="H26" i="16" s="1"/>
  <c r="D22" i="16"/>
  <c r="H22" i="16" s="1"/>
  <c r="D208" i="16"/>
  <c r="H208" i="16" s="1"/>
  <c r="H46" i="16" l="1"/>
  <c r="D21" i="16"/>
  <c r="H21" i="16" s="1"/>
  <c r="J10" i="15"/>
  <c r="C13" i="6" l="1"/>
  <c r="C11" i="6"/>
  <c r="K49" i="21" l="1"/>
  <c r="K26" i="21"/>
  <c r="C9" i="16"/>
  <c r="D8" i="16"/>
  <c r="H8" i="16" s="1"/>
  <c r="C44" i="16"/>
  <c r="C43" i="16"/>
  <c r="D43" i="16" s="1"/>
  <c r="H43" i="16" s="1"/>
  <c r="C42" i="16"/>
  <c r="D42" i="16" s="1"/>
  <c r="H42" i="16" s="1"/>
  <c r="C41" i="16"/>
  <c r="D41" i="16" s="1"/>
  <c r="H41" i="16" s="1"/>
  <c r="C40" i="16"/>
  <c r="D40" i="16" s="1"/>
  <c r="H40" i="16" s="1"/>
  <c r="C39" i="16"/>
  <c r="D39" i="16" s="1"/>
  <c r="H39" i="16" s="1"/>
  <c r="C36" i="16"/>
  <c r="C35" i="16"/>
  <c r="C34" i="16"/>
  <c r="C33" i="16"/>
  <c r="C32" i="16"/>
  <c r="C31" i="16"/>
  <c r="C29" i="16"/>
  <c r="C28" i="16"/>
  <c r="C26" i="16"/>
  <c r="C25" i="16"/>
  <c r="C24" i="16"/>
  <c r="C23" i="16"/>
  <c r="C22" i="16"/>
  <c r="C17" i="16"/>
  <c r="D17" i="16" s="1"/>
  <c r="H17" i="16" s="1"/>
  <c r="C16" i="16"/>
  <c r="C15" i="16"/>
  <c r="C14" i="16"/>
  <c r="C13" i="16"/>
  <c r="D13" i="16" s="1"/>
  <c r="H13" i="16" s="1"/>
  <c r="C12" i="16"/>
  <c r="C11" i="16"/>
  <c r="C10" i="16"/>
  <c r="D102" i="16" l="1"/>
  <c r="H102" i="16" s="1"/>
  <c r="D44" i="16"/>
  <c r="H44" i="16" s="1"/>
  <c r="C99" i="16"/>
  <c r="C98" i="16"/>
  <c r="C97" i="16"/>
  <c r="C96" i="16"/>
  <c r="C95" i="16"/>
  <c r="C72" i="16"/>
  <c r="C88" i="16" s="1"/>
  <c r="C73" i="16"/>
  <c r="C89" i="16" s="1"/>
  <c r="C74" i="16"/>
  <c r="C90" i="16" s="1"/>
  <c r="C75" i="16"/>
  <c r="C76" i="16"/>
  <c r="C71" i="16"/>
  <c r="C87" i="16" s="1"/>
  <c r="B51" i="21"/>
  <c r="B28" i="21"/>
  <c r="AU12" i="9"/>
  <c r="AU11" i="9"/>
  <c r="AU10" i="9"/>
  <c r="AU9" i="9"/>
  <c r="AU8" i="9"/>
  <c r="AU7" i="9"/>
  <c r="AU6" i="9"/>
  <c r="AU5" i="9"/>
  <c r="AU4" i="9"/>
  <c r="AU3" i="9"/>
  <c r="AT12" i="9"/>
  <c r="AT11" i="9"/>
  <c r="AT10" i="9"/>
  <c r="AT9" i="9"/>
  <c r="AT8" i="9"/>
  <c r="AT7" i="9"/>
  <c r="AT6" i="9"/>
  <c r="AT5" i="9"/>
  <c r="AT4" i="9"/>
  <c r="AT3" i="9"/>
  <c r="AS12" i="9"/>
  <c r="AS11" i="9"/>
  <c r="AS10" i="9"/>
  <c r="AS9" i="9"/>
  <c r="AS8" i="9"/>
  <c r="AS7" i="9"/>
  <c r="AS6" i="9"/>
  <c r="AS5" i="9"/>
  <c r="AS4" i="9"/>
  <c r="AS3" i="9"/>
  <c r="AR12" i="9"/>
  <c r="AR11" i="9"/>
  <c r="AR10" i="9"/>
  <c r="AR9" i="9"/>
  <c r="AR8" i="9"/>
  <c r="AR7" i="9"/>
  <c r="AR6" i="9"/>
  <c r="AR5" i="9"/>
  <c r="AR4" i="9"/>
  <c r="AR3" i="9"/>
  <c r="AQ12" i="9"/>
  <c r="AQ11" i="9"/>
  <c r="AQ10" i="9"/>
  <c r="AQ9" i="9"/>
  <c r="AQ8" i="9"/>
  <c r="AQ7" i="9"/>
  <c r="AQ6" i="9"/>
  <c r="AQ5" i="9"/>
  <c r="AQ4" i="9"/>
  <c r="AQ3" i="9"/>
  <c r="AP12" i="9"/>
  <c r="AP11" i="9"/>
  <c r="AP10" i="9"/>
  <c r="AP9" i="9"/>
  <c r="AP8" i="9"/>
  <c r="AP7" i="9"/>
  <c r="AP6" i="9"/>
  <c r="AP5" i="9"/>
  <c r="AP4" i="9"/>
  <c r="AP3" i="9"/>
  <c r="AO12" i="9"/>
  <c r="AO11" i="9"/>
  <c r="AO10" i="9"/>
  <c r="AO9" i="9"/>
  <c r="AO8" i="9"/>
  <c r="AO7" i="9"/>
  <c r="AO6" i="9"/>
  <c r="AO5" i="9"/>
  <c r="AO4" i="9"/>
  <c r="AO3" i="9"/>
  <c r="AN12" i="9"/>
  <c r="AN11" i="9"/>
  <c r="AN10" i="9"/>
  <c r="AN9" i="9"/>
  <c r="AN8" i="9"/>
  <c r="AN7" i="9"/>
  <c r="AN6" i="9"/>
  <c r="AN5" i="9"/>
  <c r="AN4" i="9"/>
  <c r="AN3" i="9"/>
  <c r="AM12" i="9"/>
  <c r="AM11" i="9"/>
  <c r="AM10" i="9"/>
  <c r="AM9" i="9"/>
  <c r="AM8" i="9"/>
  <c r="AM7" i="9"/>
  <c r="AM6" i="9"/>
  <c r="AM5" i="9"/>
  <c r="AM4" i="9"/>
  <c r="AM3" i="9"/>
  <c r="AL12" i="9"/>
  <c r="AL11" i="9"/>
  <c r="AL10" i="9"/>
  <c r="AL9" i="9"/>
  <c r="AL8" i="9"/>
  <c r="AL7" i="9"/>
  <c r="AL6" i="9"/>
  <c r="AL5" i="9"/>
  <c r="AL4" i="9"/>
  <c r="AL3" i="9"/>
  <c r="AK12" i="9"/>
  <c r="AK11" i="9"/>
  <c r="AK10" i="9"/>
  <c r="AK9" i="9"/>
  <c r="AK8" i="9"/>
  <c r="AK7" i="9"/>
  <c r="AK6" i="9"/>
  <c r="AK5" i="9"/>
  <c r="AK4" i="9"/>
  <c r="AK3" i="9"/>
  <c r="AJ12" i="9"/>
  <c r="AJ11" i="9"/>
  <c r="AJ10" i="9"/>
  <c r="AJ9" i="9"/>
  <c r="AJ8" i="9"/>
  <c r="AJ7" i="9"/>
  <c r="AJ6" i="9"/>
  <c r="AJ5" i="9"/>
  <c r="AJ4" i="9"/>
  <c r="AJ3" i="9"/>
  <c r="AI12" i="9"/>
  <c r="AI11" i="9"/>
  <c r="AI10" i="9"/>
  <c r="AI9" i="9"/>
  <c r="AI8" i="9"/>
  <c r="AI7" i="9"/>
  <c r="AI6" i="9"/>
  <c r="AI5" i="9"/>
  <c r="AI4" i="9"/>
  <c r="AI3" i="9"/>
  <c r="AH12" i="9"/>
  <c r="AH11" i="9"/>
  <c r="AH10" i="9"/>
  <c r="AH9" i="9"/>
  <c r="AH8" i="9"/>
  <c r="AH7" i="9"/>
  <c r="AH6" i="9"/>
  <c r="AH5" i="9"/>
  <c r="AH4" i="9"/>
  <c r="AH3" i="9"/>
  <c r="AG12" i="9"/>
  <c r="AG11" i="9"/>
  <c r="AG10" i="9"/>
  <c r="AG9" i="9"/>
  <c r="AG8" i="9"/>
  <c r="AG7" i="9"/>
  <c r="AG6" i="9"/>
  <c r="AG5" i="9"/>
  <c r="AG4" i="9"/>
  <c r="AG3" i="9"/>
  <c r="AF12" i="9"/>
  <c r="AF11" i="9"/>
  <c r="AF10" i="9"/>
  <c r="AF9" i="9"/>
  <c r="AF8" i="9"/>
  <c r="AF7" i="9"/>
  <c r="AF6" i="9"/>
  <c r="AF5" i="9"/>
  <c r="AF4" i="9"/>
  <c r="AF3" i="9"/>
  <c r="AE12" i="9"/>
  <c r="AE11" i="9"/>
  <c r="AE10" i="9"/>
  <c r="AE9" i="9"/>
  <c r="AE8" i="9"/>
  <c r="AE7" i="9"/>
  <c r="AE6" i="9"/>
  <c r="AE5" i="9"/>
  <c r="AE4" i="9"/>
  <c r="AE3" i="9"/>
  <c r="AD12" i="9"/>
  <c r="AD11" i="9"/>
  <c r="AD10" i="9"/>
  <c r="AD9" i="9"/>
  <c r="AD8" i="9"/>
  <c r="AD7" i="9"/>
  <c r="AD6" i="9"/>
  <c r="AD5" i="9"/>
  <c r="AD4" i="9"/>
  <c r="AD3" i="9"/>
  <c r="AC12" i="9"/>
  <c r="AC11" i="9"/>
  <c r="AC10" i="9"/>
  <c r="AC9" i="9"/>
  <c r="AC8" i="9"/>
  <c r="AC7" i="9"/>
  <c r="AC6" i="9"/>
  <c r="AC5" i="9"/>
  <c r="AC4" i="9"/>
  <c r="AC3" i="9"/>
  <c r="AB12" i="9"/>
  <c r="AB11" i="9"/>
  <c r="AB10" i="9"/>
  <c r="AB9" i="9"/>
  <c r="AB8" i="9"/>
  <c r="AB7" i="9"/>
  <c r="AB6" i="9"/>
  <c r="AB5" i="9"/>
  <c r="AB4" i="9"/>
  <c r="AB3" i="9"/>
  <c r="AA12" i="9"/>
  <c r="AA11" i="9"/>
  <c r="AA10" i="9"/>
  <c r="AA9" i="9"/>
  <c r="AA8" i="9"/>
  <c r="AA7" i="9"/>
  <c r="AA6" i="9"/>
  <c r="AA5" i="9"/>
  <c r="AA4" i="9"/>
  <c r="AA3" i="9"/>
  <c r="Z12" i="9"/>
  <c r="Z11" i="9"/>
  <c r="Z10" i="9"/>
  <c r="Z9" i="9"/>
  <c r="Z8" i="9"/>
  <c r="Z7" i="9"/>
  <c r="Z6" i="9"/>
  <c r="Z5" i="9"/>
  <c r="Z4" i="9"/>
  <c r="Z3" i="9"/>
  <c r="Y12" i="9"/>
  <c r="Y11" i="9"/>
  <c r="Y10" i="9"/>
  <c r="Y9" i="9"/>
  <c r="Y8" i="9"/>
  <c r="Y7" i="9"/>
  <c r="Y6" i="9"/>
  <c r="Y5" i="9"/>
  <c r="Y4" i="9"/>
  <c r="Y3" i="9"/>
  <c r="X12" i="9"/>
  <c r="X11" i="9"/>
  <c r="X10" i="9"/>
  <c r="X9" i="9"/>
  <c r="X8" i="9"/>
  <c r="X7" i="9"/>
  <c r="X6" i="9"/>
  <c r="X5" i="9"/>
  <c r="X4" i="9"/>
  <c r="X3" i="9"/>
  <c r="W12" i="9"/>
  <c r="W11" i="9"/>
  <c r="W10" i="9"/>
  <c r="W9" i="9"/>
  <c r="W8" i="9"/>
  <c r="W7" i="9"/>
  <c r="W6" i="9"/>
  <c r="W5" i="9"/>
  <c r="W4" i="9"/>
  <c r="W3" i="9"/>
  <c r="V12" i="9"/>
  <c r="V11" i="9"/>
  <c r="V10" i="9"/>
  <c r="V9" i="9"/>
  <c r="V8" i="9"/>
  <c r="V7" i="9"/>
  <c r="V6" i="9"/>
  <c r="V5" i="9"/>
  <c r="V4" i="9"/>
  <c r="V3" i="9"/>
  <c r="U12" i="9"/>
  <c r="U11" i="9"/>
  <c r="U10" i="9"/>
  <c r="U9" i="9"/>
  <c r="U8" i="9"/>
  <c r="U7" i="9"/>
  <c r="U6" i="9"/>
  <c r="U5" i="9"/>
  <c r="U4" i="9"/>
  <c r="U3" i="9"/>
  <c r="T12" i="9"/>
  <c r="T11" i="9"/>
  <c r="T10" i="9"/>
  <c r="T9" i="9"/>
  <c r="T8" i="9"/>
  <c r="T7" i="9"/>
  <c r="T6" i="9"/>
  <c r="T5" i="9"/>
  <c r="T4" i="9"/>
  <c r="T3" i="9"/>
  <c r="S12" i="9"/>
  <c r="S11" i="9"/>
  <c r="S10" i="9"/>
  <c r="S9" i="9"/>
  <c r="S8" i="9"/>
  <c r="S7" i="9"/>
  <c r="S6" i="9"/>
  <c r="S5" i="9"/>
  <c r="S4" i="9"/>
  <c r="S3" i="9"/>
  <c r="R12" i="9"/>
  <c r="R11" i="9"/>
  <c r="R10" i="9"/>
  <c r="R9" i="9"/>
  <c r="R8" i="9"/>
  <c r="R7" i="9"/>
  <c r="R6" i="9"/>
  <c r="R5" i="9"/>
  <c r="R4" i="9"/>
  <c r="R3" i="9"/>
  <c r="Q12" i="9"/>
  <c r="Q11" i="9"/>
  <c r="Q10" i="9"/>
  <c r="Q9" i="9"/>
  <c r="Q8" i="9"/>
  <c r="Q7" i="9"/>
  <c r="Q6" i="9"/>
  <c r="Q5" i="9"/>
  <c r="Q4" i="9"/>
  <c r="Q3" i="9"/>
  <c r="P12" i="9"/>
  <c r="P11" i="9"/>
  <c r="P10" i="9"/>
  <c r="P9" i="9"/>
  <c r="P8" i="9"/>
  <c r="P7" i="9"/>
  <c r="P6" i="9"/>
  <c r="P5" i="9"/>
  <c r="P4" i="9"/>
  <c r="P3" i="9"/>
  <c r="O12" i="9"/>
  <c r="O11" i="9"/>
  <c r="O10" i="9"/>
  <c r="O9" i="9"/>
  <c r="O8" i="9"/>
  <c r="O7" i="9"/>
  <c r="O6" i="9"/>
  <c r="O5" i="9"/>
  <c r="O4" i="9"/>
  <c r="O3" i="9"/>
  <c r="N12" i="9"/>
  <c r="N11" i="9"/>
  <c r="N10" i="9"/>
  <c r="N9" i="9"/>
  <c r="N8" i="9"/>
  <c r="N7" i="9"/>
  <c r="N6" i="9"/>
  <c r="N5" i="9"/>
  <c r="N4" i="9"/>
  <c r="N3" i="9"/>
  <c r="L12" i="9"/>
  <c r="L11" i="9"/>
  <c r="L10" i="9"/>
  <c r="L9" i="9"/>
  <c r="L8" i="9"/>
  <c r="L7" i="9"/>
  <c r="L6" i="9"/>
  <c r="L5" i="9"/>
  <c r="L4" i="9"/>
  <c r="L3" i="9"/>
  <c r="K12" i="9"/>
  <c r="K11" i="9"/>
  <c r="K10" i="9"/>
  <c r="K9" i="9"/>
  <c r="K8" i="9"/>
  <c r="K7" i="9"/>
  <c r="K6" i="9"/>
  <c r="K5" i="9"/>
  <c r="K4" i="9"/>
  <c r="K3" i="9"/>
  <c r="J12" i="9"/>
  <c r="J11" i="9"/>
  <c r="J10" i="9"/>
  <c r="J9" i="9"/>
  <c r="J8" i="9"/>
  <c r="J7" i="9"/>
  <c r="J6" i="9"/>
  <c r="J5" i="9"/>
  <c r="J4" i="9"/>
  <c r="J3" i="9"/>
  <c r="I12" i="9"/>
  <c r="I11" i="9"/>
  <c r="I10" i="9"/>
  <c r="I9" i="9"/>
  <c r="I8" i="9"/>
  <c r="I7" i="9"/>
  <c r="I6" i="9"/>
  <c r="I5" i="9"/>
  <c r="I4" i="9"/>
  <c r="I3" i="9"/>
  <c r="B54" i="25"/>
  <c r="B52" i="25"/>
  <c r="A8" i="25"/>
  <c r="A16" i="25"/>
  <c r="A25" i="25"/>
  <c r="H12" i="9"/>
  <c r="H11" i="9"/>
  <c r="H10" i="9"/>
  <c r="H9" i="9"/>
  <c r="H8" i="9"/>
  <c r="H7" i="9"/>
  <c r="H6" i="9"/>
  <c r="H5" i="9"/>
  <c r="H3" i="9"/>
  <c r="H4" i="9"/>
  <c r="C52" i="25" l="1"/>
  <c r="D78" i="16"/>
  <c r="H78" i="16" s="1"/>
  <c r="C54" i="25"/>
  <c r="D86" i="16"/>
  <c r="H86" i="16" s="1"/>
  <c r="C84" i="16"/>
  <c r="C83" i="16"/>
  <c r="C80" i="16"/>
  <c r="C92" i="16"/>
  <c r="C91" i="16"/>
  <c r="C81" i="16"/>
  <c r="C82" i="16"/>
  <c r="L13" i="9"/>
  <c r="D99" i="16" s="1"/>
  <c r="H99" i="16" s="1"/>
  <c r="C79" i="16"/>
  <c r="E21" i="25"/>
  <c r="AU13" i="9"/>
  <c r="AO13" i="9"/>
  <c r="AT13" i="9"/>
  <c r="AS13" i="9"/>
  <c r="AQ13" i="9"/>
  <c r="AR13" i="9"/>
  <c r="AP13" i="9"/>
  <c r="AM13" i="9"/>
  <c r="AN13" i="9"/>
  <c r="AK13" i="9"/>
  <c r="AL13" i="9"/>
  <c r="AI13" i="9"/>
  <c r="AJ13" i="9"/>
  <c r="AG13" i="9"/>
  <c r="AH13" i="9"/>
  <c r="AF13" i="9"/>
  <c r="AE13" i="9"/>
  <c r="AD13" i="9"/>
  <c r="AC13" i="9"/>
  <c r="AB13" i="9"/>
  <c r="AA13" i="9"/>
  <c r="Y13" i="9"/>
  <c r="Z13" i="9"/>
  <c r="U13" i="9"/>
  <c r="W13" i="9"/>
  <c r="X13" i="9"/>
  <c r="V13" i="9"/>
  <c r="T13" i="9"/>
  <c r="Q13" i="9"/>
  <c r="S13" i="9"/>
  <c r="R13" i="9"/>
  <c r="P13" i="9"/>
  <c r="O13" i="9"/>
  <c r="N13" i="9"/>
  <c r="E30" i="25"/>
  <c r="K13" i="9"/>
  <c r="D91" i="16" s="1"/>
  <c r="H91" i="16" s="1"/>
  <c r="J13" i="9"/>
  <c r="D83" i="16" s="1"/>
  <c r="H83" i="16" s="1"/>
  <c r="H13" i="9"/>
  <c r="I13" i="9"/>
  <c r="L11" i="15"/>
  <c r="M12" i="9"/>
  <c r="M11" i="9"/>
  <c r="M10" i="9"/>
  <c r="M9" i="9"/>
  <c r="M8" i="9"/>
  <c r="M7" i="9"/>
  <c r="M6" i="9"/>
  <c r="M5" i="9"/>
  <c r="M4" i="9"/>
  <c r="M3" i="9"/>
  <c r="M14" i="15"/>
  <c r="A8" i="15"/>
  <c r="D28" i="16" l="1"/>
  <c r="H28" i="16" s="1"/>
  <c r="D75" i="16"/>
  <c r="H75" i="16" s="1"/>
  <c r="D12" i="25"/>
  <c r="O16" i="21"/>
  <c r="K16" i="21" s="1"/>
  <c r="O22" i="21"/>
  <c r="K22" i="21" s="1"/>
  <c r="O36" i="21"/>
  <c r="K36" i="21" s="1"/>
  <c r="O47" i="21"/>
  <c r="K47" i="21" s="1"/>
  <c r="O14" i="21"/>
  <c r="K14" i="21" s="1"/>
  <c r="O24" i="21"/>
  <c r="K24" i="21" s="1"/>
  <c r="O39" i="21"/>
  <c r="K39" i="21" s="1"/>
  <c r="O43" i="21"/>
  <c r="K43" i="21" s="1"/>
  <c r="O46" i="21"/>
  <c r="K46" i="21" s="1"/>
  <c r="O51" i="21"/>
  <c r="K51" i="21" s="1"/>
  <c r="O17" i="21"/>
  <c r="K17" i="21" s="1"/>
  <c r="O18" i="21"/>
  <c r="K18" i="21" s="1"/>
  <c r="O25" i="21"/>
  <c r="K25" i="21" s="1"/>
  <c r="O35" i="21"/>
  <c r="K35" i="21" s="1"/>
  <c r="O38" i="21"/>
  <c r="K38" i="21" s="1"/>
  <c r="O42" i="21"/>
  <c r="K42" i="21" s="1"/>
  <c r="O48" i="21"/>
  <c r="K48" i="21" s="1"/>
  <c r="O21" i="21"/>
  <c r="K21" i="21" s="1"/>
  <c r="O28" i="21"/>
  <c r="K28" i="21" s="1"/>
  <c r="O40" i="21"/>
  <c r="K40" i="21" s="1"/>
  <c r="O44" i="21"/>
  <c r="K44" i="21" s="1"/>
  <c r="O20" i="21"/>
  <c r="K20" i="21" s="1"/>
  <c r="O34" i="21"/>
  <c r="K34" i="21" s="1"/>
  <c r="O15" i="21"/>
  <c r="K15" i="21" s="1"/>
  <c r="O19" i="21"/>
  <c r="K19" i="21" s="1"/>
  <c r="O23" i="21"/>
  <c r="K23" i="21" s="1"/>
  <c r="O27" i="21"/>
  <c r="K27" i="21" s="1"/>
  <c r="O37" i="21"/>
  <c r="K37" i="21" s="1"/>
  <c r="O41" i="21"/>
  <c r="K41" i="21" s="1"/>
  <c r="O45" i="21"/>
  <c r="K45" i="21" s="1"/>
  <c r="O50" i="21"/>
  <c r="K50" i="21" s="1"/>
  <c r="O12" i="21"/>
  <c r="K12" i="21" s="1"/>
  <c r="O13" i="21"/>
  <c r="O11" i="21"/>
  <c r="K11" i="21" s="1"/>
  <c r="M12" i="15"/>
  <c r="M13" i="15"/>
  <c r="M13" i="9"/>
  <c r="M15" i="15" s="1"/>
  <c r="F122" i="16"/>
  <c r="C8" i="21"/>
  <c r="S28" i="15"/>
  <c r="C122" i="16" l="1"/>
  <c r="D122" i="16" s="1"/>
  <c r="H122" i="16" s="1"/>
  <c r="K13" i="21"/>
  <c r="L15" i="15"/>
  <c r="B41" i="21"/>
  <c r="B45" i="21"/>
  <c r="B22" i="21"/>
  <c r="B71" i="15"/>
  <c r="T25" i="15" l="1"/>
  <c r="S25" i="15"/>
  <c r="S20" i="15"/>
  <c r="T20" i="15"/>
  <c r="S29" i="15"/>
  <c r="C216" i="16"/>
  <c r="C220" i="16"/>
  <c r="C219" i="16"/>
  <c r="C218" i="16"/>
  <c r="C217" i="16"/>
  <c r="C215" i="16"/>
  <c r="C214" i="16"/>
  <c r="C213" i="16"/>
  <c r="C210" i="16"/>
  <c r="C209" i="16"/>
  <c r="C208" i="16"/>
  <c r="C207" i="16"/>
  <c r="C206" i="16"/>
  <c r="C204" i="16"/>
  <c r="D27" i="15" l="1"/>
  <c r="C153" i="16"/>
  <c r="C151" i="16"/>
  <c r="C150" i="16"/>
  <c r="C149" i="16"/>
  <c r="C148" i="16"/>
  <c r="C152" i="16"/>
  <c r="C142" i="16"/>
  <c r="D143" i="16" s="1"/>
  <c r="H143" i="16" s="1"/>
  <c r="C141" i="16"/>
  <c r="C140" i="16"/>
  <c r="C139" i="16"/>
  <c r="C138" i="16"/>
  <c r="C137" i="16"/>
  <c r="C136" i="16"/>
  <c r="C134" i="16"/>
  <c r="C133" i="16"/>
  <c r="C132" i="16"/>
  <c r="C131" i="16"/>
  <c r="C130" i="16"/>
  <c r="C129" i="16"/>
  <c r="C128" i="16"/>
  <c r="C127" i="16"/>
  <c r="C126" i="16"/>
  <c r="C125" i="16"/>
  <c r="C120" i="16"/>
  <c r="D121" i="16" s="1"/>
  <c r="H121" i="16" s="1"/>
  <c r="C119" i="16"/>
  <c r="C118" i="16"/>
  <c r="C117" i="16"/>
  <c r="C116" i="16"/>
  <c r="D123" i="16" s="1"/>
  <c r="H123" i="16" s="1"/>
  <c r="C115" i="16"/>
  <c r="D173" i="16" s="1"/>
  <c r="H173" i="16" s="1"/>
  <c r="C114" i="16"/>
  <c r="C112" i="16"/>
  <c r="C111" i="16"/>
  <c r="C110" i="16"/>
  <c r="C109" i="16"/>
  <c r="C108" i="16"/>
  <c r="C107" i="16"/>
  <c r="C106" i="16"/>
  <c r="C105" i="16"/>
  <c r="C104" i="16"/>
  <c r="C103" i="16"/>
  <c r="C124" i="16"/>
  <c r="F124" i="16" s="1"/>
  <c r="C102" i="16"/>
  <c r="F102" i="16" s="1"/>
  <c r="D74" i="16"/>
  <c r="H74" i="16" s="1"/>
  <c r="D73" i="16"/>
  <c r="H73" i="16" s="1"/>
  <c r="D72" i="16"/>
  <c r="H72" i="16" s="1"/>
  <c r="D71" i="16"/>
  <c r="H71" i="16" s="1"/>
  <c r="D35" i="16"/>
  <c r="H35" i="16" s="1"/>
  <c r="D34" i="16"/>
  <c r="H34" i="16" s="1"/>
  <c r="D33" i="16"/>
  <c r="H33" i="16" s="1"/>
  <c r="D32" i="16"/>
  <c r="H32" i="16" s="1"/>
  <c r="D31" i="16"/>
  <c r="H31" i="16" s="1"/>
  <c r="D12" i="16"/>
  <c r="H12" i="16" s="1"/>
  <c r="D11" i="16"/>
  <c r="H11" i="16" s="1"/>
  <c r="D10" i="16"/>
  <c r="H10" i="16" s="1"/>
  <c r="D9" i="16"/>
  <c r="H9" i="16" s="1"/>
  <c r="D117" i="16" l="1"/>
  <c r="H117" i="16" s="1"/>
  <c r="D110" i="16"/>
  <c r="H110" i="16" s="1"/>
  <c r="D145" i="16"/>
  <c r="H145" i="16" s="1"/>
  <c r="C145" i="16"/>
  <c r="C123" i="16"/>
  <c r="D137" i="16"/>
  <c r="H137" i="16" s="1"/>
  <c r="E101" i="16"/>
  <c r="H69" i="16"/>
  <c r="H111" i="16"/>
  <c r="D112" i="16"/>
  <c r="H112" i="16" s="1"/>
  <c r="D115" i="16"/>
  <c r="H115" i="16" s="1"/>
  <c r="D134" i="16"/>
  <c r="H134" i="16" s="1"/>
  <c r="D139" i="16"/>
  <c r="H139" i="16" s="1"/>
  <c r="H133" i="16"/>
  <c r="D132" i="16"/>
  <c r="H132" i="16" s="1"/>
  <c r="K8" i="21"/>
  <c r="C10" i="21"/>
  <c r="J8" i="15"/>
  <c r="A33" i="25" l="1"/>
  <c r="G25" i="25"/>
  <c r="D25" i="25" s="1"/>
  <c r="G16" i="25"/>
  <c r="D16" i="25" s="1"/>
  <c r="D13" i="25"/>
  <c r="D11" i="25"/>
  <c r="D10" i="25"/>
  <c r="D9" i="25"/>
  <c r="G8" i="25"/>
  <c r="D8" i="25" s="1"/>
  <c r="A57" i="22" l="1"/>
  <c r="I54" i="22"/>
  <c r="A54" i="22"/>
  <c r="I53" i="22"/>
  <c r="A53" i="22"/>
  <c r="I52" i="22"/>
  <c r="C52" i="22"/>
  <c r="A52" i="22"/>
  <c r="I51" i="22"/>
  <c r="C51" i="22"/>
  <c r="A51" i="22"/>
  <c r="I50" i="22"/>
  <c r="C50" i="22"/>
  <c r="A50" i="22"/>
  <c r="I49" i="22"/>
  <c r="C49" i="22"/>
  <c r="A49" i="22"/>
  <c r="B47" i="22"/>
  <c r="I46" i="22"/>
  <c r="C46" i="22"/>
  <c r="A46" i="22"/>
  <c r="I45" i="22"/>
  <c r="C45" i="22"/>
  <c r="A45" i="22"/>
  <c r="I44" i="22"/>
  <c r="C44" i="22"/>
  <c r="A44" i="22"/>
  <c r="I43" i="22"/>
  <c r="C43" i="22"/>
  <c r="A43" i="22"/>
  <c r="I42" i="22"/>
  <c r="C42" i="22"/>
  <c r="A42" i="22"/>
  <c r="I41" i="22"/>
  <c r="C41" i="22"/>
  <c r="A41" i="22"/>
  <c r="L56" i="22"/>
  <c r="D16" i="16"/>
  <c r="H16" i="16" s="1"/>
  <c r="H4" i="16" s="1"/>
  <c r="I24" i="22"/>
  <c r="I21" i="22"/>
  <c r="C21" i="22"/>
  <c r="I20" i="22"/>
  <c r="C20" i="22"/>
  <c r="I19" i="22"/>
  <c r="C19" i="22"/>
  <c r="I18" i="22"/>
  <c r="C18" i="22"/>
  <c r="I17" i="22"/>
  <c r="C17" i="22"/>
  <c r="I16" i="22"/>
  <c r="C16" i="22"/>
  <c r="C15" i="22" l="1"/>
  <c r="D60" i="22" s="1"/>
  <c r="J27" i="22"/>
  <c r="J57" i="22"/>
  <c r="C48" i="22" s="1"/>
  <c r="D46" i="22"/>
  <c r="J46" i="22"/>
  <c r="C40" i="22" s="1"/>
  <c r="J26" i="22"/>
  <c r="L46" i="22"/>
  <c r="I58" i="22"/>
  <c r="C28" i="22"/>
  <c r="C35" i="21"/>
  <c r="P35" i="21" s="1"/>
  <c r="F183" i="16" l="1"/>
  <c r="E183" i="16"/>
  <c r="D61" i="22"/>
  <c r="D62" i="22"/>
  <c r="C247" i="16"/>
  <c r="C183" i="16" l="1"/>
  <c r="D183" i="16" s="1"/>
  <c r="H183" i="16" s="1"/>
  <c r="A16" i="2"/>
  <c r="A8" i="2"/>
  <c r="B12" i="21" l="1"/>
  <c r="D13" i="2"/>
  <c r="C67" i="15" l="1"/>
  <c r="C66" i="15"/>
  <c r="O28" i="15"/>
  <c r="A30" i="6"/>
  <c r="B8" i="6" s="1"/>
  <c r="C205" i="16" l="1"/>
  <c r="C68" i="15"/>
  <c r="B54" i="2"/>
  <c r="E30" i="2" s="1"/>
  <c r="B52" i="2"/>
  <c r="E21" i="2" s="1"/>
  <c r="D37" i="2"/>
  <c r="D59" i="22"/>
  <c r="D63" i="22" s="1"/>
  <c r="C2" i="22" s="1"/>
  <c r="C3" i="22" s="1"/>
  <c r="A13" i="25" l="1"/>
  <c r="G3" i="25" s="1"/>
  <c r="C54" i="2"/>
  <c r="C52" i="2"/>
  <c r="D20" i="2"/>
  <c r="A21" i="2" s="1"/>
  <c r="H287" i="16"/>
  <c r="E2" i="22" l="1"/>
  <c r="D39" i="22" s="1"/>
  <c r="D29" i="2"/>
  <c r="A30" i="2" s="1"/>
  <c r="D29" i="25"/>
  <c r="B51" i="2"/>
  <c r="C24" i="1"/>
  <c r="I277" i="16"/>
  <c r="I278" i="16"/>
  <c r="I279" i="16"/>
  <c r="I280" i="16"/>
  <c r="I281" i="16"/>
  <c r="I282" i="16"/>
  <c r="I283" i="16"/>
  <c r="I284" i="16"/>
  <c r="I285" i="16"/>
  <c r="I286" i="16"/>
  <c r="I287" i="16"/>
  <c r="I288" i="16"/>
  <c r="I289" i="16"/>
  <c r="I290" i="16"/>
  <c r="I291" i="16"/>
  <c r="I292" i="16"/>
  <c r="I293" i="16"/>
  <c r="I294" i="16"/>
  <c r="I295" i="16"/>
  <c r="I296" i="16"/>
  <c r="I297" i="16"/>
  <c r="I298" i="16"/>
  <c r="I299" i="16"/>
  <c r="I300" i="16"/>
  <c r="I301" i="16"/>
  <c r="I302" i="16"/>
  <c r="I303" i="16"/>
  <c r="I304" i="16"/>
  <c r="I305" i="16"/>
  <c r="I306" i="16"/>
  <c r="I307" i="16"/>
  <c r="I308" i="16"/>
  <c r="I309" i="16"/>
  <c r="I310" i="16"/>
  <c r="I311" i="16"/>
  <c r="I312" i="16"/>
  <c r="I313" i="16"/>
  <c r="I314" i="16"/>
  <c r="J276" i="16"/>
  <c r="K276" i="16"/>
  <c r="D276" i="16"/>
  <c r="E276" i="16"/>
  <c r="F276" i="16"/>
  <c r="G276" i="16"/>
  <c r="H276" i="16"/>
  <c r="I276" i="16"/>
  <c r="D277" i="16"/>
  <c r="E277" i="16"/>
  <c r="F277" i="16"/>
  <c r="G277" i="16"/>
  <c r="H277" i="16"/>
  <c r="D278" i="16"/>
  <c r="E278" i="16"/>
  <c r="F278" i="16"/>
  <c r="G278" i="16"/>
  <c r="H278" i="16"/>
  <c r="D279" i="16"/>
  <c r="E279" i="16"/>
  <c r="F279" i="16"/>
  <c r="G279" i="16"/>
  <c r="H279" i="16"/>
  <c r="D280" i="16"/>
  <c r="E280" i="16"/>
  <c r="F280" i="16"/>
  <c r="G280" i="16"/>
  <c r="H280" i="16"/>
  <c r="D281" i="16"/>
  <c r="E281" i="16"/>
  <c r="F281" i="16"/>
  <c r="G281" i="16"/>
  <c r="H281" i="16"/>
  <c r="D282" i="16"/>
  <c r="E282" i="16"/>
  <c r="F282" i="16"/>
  <c r="G282" i="16"/>
  <c r="H282" i="16"/>
  <c r="D283" i="16"/>
  <c r="E283" i="16"/>
  <c r="F283" i="16"/>
  <c r="G283" i="16"/>
  <c r="H283" i="16"/>
  <c r="D284" i="16"/>
  <c r="E284" i="16"/>
  <c r="F284" i="16"/>
  <c r="G284" i="16"/>
  <c r="H284" i="16"/>
  <c r="D285" i="16"/>
  <c r="E285" i="16"/>
  <c r="F285" i="16"/>
  <c r="G285" i="16"/>
  <c r="H285" i="16"/>
  <c r="D286" i="16"/>
  <c r="E286" i="16"/>
  <c r="F286" i="16"/>
  <c r="G286" i="16"/>
  <c r="H286" i="16"/>
  <c r="D287" i="16"/>
  <c r="E287" i="16"/>
  <c r="F287" i="16"/>
  <c r="G287" i="16"/>
  <c r="D288" i="16"/>
  <c r="E288" i="16"/>
  <c r="F288" i="16"/>
  <c r="G288" i="16"/>
  <c r="H288" i="16"/>
  <c r="D289" i="16"/>
  <c r="E289" i="16"/>
  <c r="F289" i="16"/>
  <c r="G289" i="16"/>
  <c r="H289" i="16"/>
  <c r="D290" i="16"/>
  <c r="E290" i="16"/>
  <c r="F290" i="16"/>
  <c r="G290" i="16"/>
  <c r="H290" i="16"/>
  <c r="D291" i="16"/>
  <c r="E291" i="16"/>
  <c r="F291" i="16"/>
  <c r="G291" i="16"/>
  <c r="H291" i="16"/>
  <c r="D292" i="16"/>
  <c r="E292" i="16"/>
  <c r="F292" i="16"/>
  <c r="G292" i="16"/>
  <c r="H292" i="16"/>
  <c r="D293" i="16"/>
  <c r="E293" i="16"/>
  <c r="F293" i="16"/>
  <c r="G293" i="16"/>
  <c r="H293" i="16"/>
  <c r="D294" i="16"/>
  <c r="E294" i="16"/>
  <c r="F294" i="16"/>
  <c r="G294" i="16"/>
  <c r="H294" i="16"/>
  <c r="C295" i="16"/>
  <c r="D295" i="16"/>
  <c r="E295" i="16"/>
  <c r="F295" i="16"/>
  <c r="G295" i="16"/>
  <c r="H295" i="16"/>
  <c r="C296" i="16"/>
  <c r="D296" i="16"/>
  <c r="E296" i="16"/>
  <c r="F296" i="16"/>
  <c r="G296" i="16"/>
  <c r="H296" i="16"/>
  <c r="D297" i="16"/>
  <c r="E297" i="16"/>
  <c r="F297" i="16"/>
  <c r="G297" i="16"/>
  <c r="H297" i="16"/>
  <c r="D298" i="16"/>
  <c r="E298" i="16"/>
  <c r="F298" i="16"/>
  <c r="G298" i="16"/>
  <c r="H298" i="16"/>
  <c r="D299" i="16"/>
  <c r="E299" i="16"/>
  <c r="F299" i="16"/>
  <c r="G299" i="16"/>
  <c r="H299" i="16"/>
  <c r="D300" i="16"/>
  <c r="E300" i="16"/>
  <c r="F300" i="16"/>
  <c r="G300" i="16"/>
  <c r="H300" i="16"/>
  <c r="D301" i="16"/>
  <c r="E301" i="16"/>
  <c r="F301" i="16"/>
  <c r="G301" i="16"/>
  <c r="H301" i="16"/>
  <c r="D302" i="16"/>
  <c r="E302" i="16"/>
  <c r="F302" i="16"/>
  <c r="G302" i="16"/>
  <c r="H302" i="16"/>
  <c r="D303" i="16"/>
  <c r="E303" i="16"/>
  <c r="F303" i="16"/>
  <c r="G303" i="16"/>
  <c r="H303" i="16"/>
  <c r="D304" i="16"/>
  <c r="E304" i="16"/>
  <c r="F304" i="16"/>
  <c r="G304" i="16"/>
  <c r="H304" i="16"/>
  <c r="D305" i="16"/>
  <c r="E305" i="16"/>
  <c r="F305" i="16"/>
  <c r="G305" i="16"/>
  <c r="H305" i="16"/>
  <c r="D306" i="16"/>
  <c r="E306" i="16"/>
  <c r="F306" i="16"/>
  <c r="G306" i="16"/>
  <c r="H306" i="16"/>
  <c r="D307" i="16"/>
  <c r="E307" i="16"/>
  <c r="F307" i="16"/>
  <c r="G307" i="16"/>
  <c r="H307" i="16"/>
  <c r="D308" i="16"/>
  <c r="E308" i="16"/>
  <c r="F308" i="16"/>
  <c r="G308" i="16"/>
  <c r="H308" i="16"/>
  <c r="D309" i="16"/>
  <c r="E309" i="16"/>
  <c r="F309" i="16"/>
  <c r="G309" i="16"/>
  <c r="H309" i="16"/>
  <c r="D310" i="16"/>
  <c r="E310" i="16"/>
  <c r="F310" i="16"/>
  <c r="G310" i="16"/>
  <c r="H310" i="16"/>
  <c r="D311" i="16"/>
  <c r="E311" i="16"/>
  <c r="F311" i="16"/>
  <c r="G311" i="16"/>
  <c r="H311" i="16"/>
  <c r="D312" i="16"/>
  <c r="E312" i="16"/>
  <c r="F312" i="16"/>
  <c r="G312" i="16"/>
  <c r="H312" i="16"/>
  <c r="D313" i="16"/>
  <c r="E313" i="16"/>
  <c r="F313" i="16"/>
  <c r="G313" i="16"/>
  <c r="H313" i="16"/>
  <c r="D314" i="16"/>
  <c r="E314" i="16"/>
  <c r="F314" i="16"/>
  <c r="G314" i="16"/>
  <c r="H314" i="16"/>
  <c r="D315" i="16"/>
  <c r="E315" i="16"/>
  <c r="F315" i="16"/>
  <c r="G315" i="16"/>
  <c r="H315" i="16"/>
  <c r="D316" i="16"/>
  <c r="E316" i="16"/>
  <c r="F316" i="16"/>
  <c r="G316" i="16"/>
  <c r="H316" i="16"/>
  <c r="B295" i="16"/>
  <c r="B296" i="16"/>
  <c r="B317" i="16"/>
  <c r="B336" i="16"/>
  <c r="B337" i="16"/>
  <c r="B338" i="16"/>
  <c r="B339" i="16"/>
  <c r="B340" i="16"/>
  <c r="D37" i="25" l="1"/>
  <c r="B53" i="25"/>
  <c r="A30" i="25"/>
  <c r="I24" i="1"/>
  <c r="B55" i="25" l="1"/>
  <c r="A37" i="25" s="1"/>
  <c r="M51" i="21"/>
  <c r="M50" i="21"/>
  <c r="M49" i="21"/>
  <c r="M48" i="21"/>
  <c r="M47" i="21"/>
  <c r="M46" i="21"/>
  <c r="M45" i="21"/>
  <c r="M44" i="21"/>
  <c r="M43" i="21"/>
  <c r="M42" i="21"/>
  <c r="M41" i="21"/>
  <c r="M40" i="21"/>
  <c r="M39" i="21"/>
  <c r="M38" i="21"/>
  <c r="M37" i="21"/>
  <c r="M36" i="21"/>
  <c r="M35" i="21"/>
  <c r="M34" i="21"/>
  <c r="M12" i="21"/>
  <c r="M13" i="21"/>
  <c r="M14" i="21"/>
  <c r="M15" i="21"/>
  <c r="M16" i="21"/>
  <c r="M17" i="21"/>
  <c r="M18" i="21"/>
  <c r="M19" i="21"/>
  <c r="M20" i="21"/>
  <c r="M21" i="21"/>
  <c r="M22" i="21"/>
  <c r="M23" i="21"/>
  <c r="M24" i="21"/>
  <c r="M25" i="21"/>
  <c r="M26" i="21"/>
  <c r="M27" i="21"/>
  <c r="M28" i="21"/>
  <c r="M11" i="21"/>
  <c r="A25" i="6"/>
  <c r="C8" i="6" l="1"/>
  <c r="E13" i="6"/>
  <c r="E11" i="6"/>
  <c r="C21" i="6"/>
  <c r="C22" i="6"/>
  <c r="C18" i="6"/>
  <c r="C12" i="6"/>
  <c r="C17" i="6"/>
  <c r="C7" i="6"/>
  <c r="C20" i="6"/>
  <c r="C16" i="6"/>
  <c r="C10" i="6"/>
  <c r="C23" i="6"/>
  <c r="C19" i="6"/>
  <c r="C9" i="6"/>
  <c r="B55" i="2"/>
  <c r="A37" i="2" s="1"/>
  <c r="D12" i="2"/>
  <c r="B67" i="21"/>
  <c r="B66" i="21"/>
  <c r="C45" i="21"/>
  <c r="C310" i="16" l="1"/>
  <c r="P45" i="21"/>
  <c r="C193" i="16" s="1"/>
  <c r="D193" i="16" s="1"/>
  <c r="H193" i="16" s="1"/>
  <c r="H9" i="6"/>
  <c r="H11" i="6" s="1"/>
  <c r="B70" i="21"/>
  <c r="B335" i="16" s="1"/>
  <c r="H8" i="6"/>
  <c r="H10" i="6" s="1"/>
  <c r="B15" i="6"/>
  <c r="B69" i="21"/>
  <c r="B334" i="16" s="1"/>
  <c r="C12" i="21"/>
  <c r="P12" i="21" s="1"/>
  <c r="C11" i="21"/>
  <c r="P11" i="21" s="1"/>
  <c r="C161" i="16" s="1"/>
  <c r="D161" i="16" s="1"/>
  <c r="H161" i="16" s="1"/>
  <c r="B53" i="2"/>
  <c r="A13" i="2"/>
  <c r="G3" i="2" s="1"/>
  <c r="B68" i="21"/>
  <c r="F162" i="16" l="1"/>
  <c r="E162" i="16"/>
  <c r="K10" i="6"/>
  <c r="K8" i="6"/>
  <c r="B6" i="6"/>
  <c r="D2" i="2"/>
  <c r="C300" i="16"/>
  <c r="C36" i="21"/>
  <c r="C37" i="21"/>
  <c r="C38" i="21"/>
  <c r="C39" i="21"/>
  <c r="C40" i="21"/>
  <c r="C41" i="21"/>
  <c r="C42" i="21"/>
  <c r="C43" i="21"/>
  <c r="C44" i="21"/>
  <c r="C46" i="21"/>
  <c r="C47" i="21"/>
  <c r="C48" i="21"/>
  <c r="C49" i="21"/>
  <c r="C50" i="21"/>
  <c r="C51" i="21"/>
  <c r="C52" i="21"/>
  <c r="C34" i="21"/>
  <c r="C14" i="21"/>
  <c r="B23" i="10"/>
  <c r="B35" i="21"/>
  <c r="B300" i="16" s="1"/>
  <c r="B36" i="21"/>
  <c r="B301" i="16" s="1"/>
  <c r="B37" i="21"/>
  <c r="B302" i="16" s="1"/>
  <c r="B38" i="21"/>
  <c r="B303" i="16" s="1"/>
  <c r="B39" i="21"/>
  <c r="B304" i="16" s="1"/>
  <c r="B40" i="21"/>
  <c r="B305" i="16" s="1"/>
  <c r="B306" i="16"/>
  <c r="B42" i="21"/>
  <c r="B307" i="16" s="1"/>
  <c r="B43" i="21"/>
  <c r="B308" i="16" s="1"/>
  <c r="B309" i="16"/>
  <c r="B310" i="16"/>
  <c r="B46" i="21"/>
  <c r="B311" i="16" s="1"/>
  <c r="B47" i="21"/>
  <c r="B312" i="16" s="1"/>
  <c r="B48" i="21"/>
  <c r="B313" i="16" s="1"/>
  <c r="B49" i="21"/>
  <c r="B314" i="16" s="1"/>
  <c r="B50" i="21"/>
  <c r="B315" i="16" s="1"/>
  <c r="B316" i="16"/>
  <c r="B34" i="21"/>
  <c r="B299" i="16" s="1"/>
  <c r="B11" i="21"/>
  <c r="B277" i="16" s="1"/>
  <c r="B278" i="16"/>
  <c r="B13" i="21"/>
  <c r="B279" i="16" s="1"/>
  <c r="B14" i="21"/>
  <c r="B280" i="16" s="1"/>
  <c r="B15" i="21"/>
  <c r="B281" i="16" s="1"/>
  <c r="B16" i="21"/>
  <c r="B282" i="16" s="1"/>
  <c r="B17" i="21"/>
  <c r="B283" i="16" s="1"/>
  <c r="B284" i="16"/>
  <c r="B19" i="21"/>
  <c r="B285" i="16" s="1"/>
  <c r="B20" i="21"/>
  <c r="B286" i="16" s="1"/>
  <c r="B287" i="16"/>
  <c r="B288" i="16"/>
  <c r="B23" i="21"/>
  <c r="B289" i="16" s="1"/>
  <c r="B24" i="21"/>
  <c r="B290" i="16" s="1"/>
  <c r="B25" i="21"/>
  <c r="B291" i="16" s="1"/>
  <c r="B26" i="21"/>
  <c r="B292" i="16" s="1"/>
  <c r="B27" i="21"/>
  <c r="B293" i="16" s="1"/>
  <c r="B294" i="16"/>
  <c r="C162" i="16" l="1"/>
  <c r="C280" i="16"/>
  <c r="P14" i="21"/>
  <c r="C164" i="16" s="1"/>
  <c r="D164" i="16" s="1"/>
  <c r="H164" i="16" s="1"/>
  <c r="C303" i="16"/>
  <c r="P38" i="21"/>
  <c r="C186" i="16" s="1"/>
  <c r="D186" i="16" s="1"/>
  <c r="H186" i="16" s="1"/>
  <c r="C299" i="16"/>
  <c r="P34" i="21"/>
  <c r="C182" i="16" s="1"/>
  <c r="D182" i="16" s="1"/>
  <c r="H182" i="16" s="1"/>
  <c r="C301" i="16"/>
  <c r="P36" i="21"/>
  <c r="C184" i="16" s="1"/>
  <c r="D184" i="16" s="1"/>
  <c r="H184" i="16" s="1"/>
  <c r="C307" i="16"/>
  <c r="P42" i="21"/>
  <c r="C190" i="16" s="1"/>
  <c r="D190" i="16" s="1"/>
  <c r="H190" i="16" s="1"/>
  <c r="C311" i="16"/>
  <c r="P46" i="21"/>
  <c r="C194" i="16" s="1"/>
  <c r="D194" i="16" s="1"/>
  <c r="H194" i="16" s="1"/>
  <c r="C306" i="16"/>
  <c r="P41" i="21"/>
  <c r="C189" i="16" s="1"/>
  <c r="D189" i="16" s="1"/>
  <c r="H189" i="16" s="1"/>
  <c r="C302" i="16"/>
  <c r="P37" i="21"/>
  <c r="C185" i="16" s="1"/>
  <c r="D185" i="16" s="1"/>
  <c r="H185" i="16" s="1"/>
  <c r="C316" i="16"/>
  <c r="P51" i="21"/>
  <c r="C199" i="16" s="1"/>
  <c r="D199" i="16" s="1"/>
  <c r="H199" i="16" s="1"/>
  <c r="C314" i="16"/>
  <c r="P49" i="21"/>
  <c r="C197" i="16" s="1"/>
  <c r="D197" i="16" s="1"/>
  <c r="H197" i="16" s="1"/>
  <c r="C305" i="16"/>
  <c r="P40" i="21"/>
  <c r="C188" i="16" s="1"/>
  <c r="D188" i="16" s="1"/>
  <c r="H188" i="16" s="1"/>
  <c r="C312" i="16"/>
  <c r="P47" i="21"/>
  <c r="C195" i="16" s="1"/>
  <c r="D195" i="16" s="1"/>
  <c r="H195" i="16" s="1"/>
  <c r="C309" i="16"/>
  <c r="P44" i="21"/>
  <c r="C192" i="16" s="1"/>
  <c r="C308" i="16"/>
  <c r="P43" i="21"/>
  <c r="C191" i="16" s="1"/>
  <c r="D191" i="16" s="1"/>
  <c r="H191" i="16" s="1"/>
  <c r="C315" i="16"/>
  <c r="P50" i="21"/>
  <c r="C198" i="16" s="1"/>
  <c r="D198" i="16" s="1"/>
  <c r="H198" i="16" s="1"/>
  <c r="C313" i="16"/>
  <c r="P48" i="21"/>
  <c r="C196" i="16" s="1"/>
  <c r="D196" i="16" s="1"/>
  <c r="H196" i="16" s="1"/>
  <c r="C304" i="16"/>
  <c r="P39" i="21"/>
  <c r="D66" i="21"/>
  <c r="D67" i="21"/>
  <c r="C13" i="21"/>
  <c r="P13" i="21" s="1"/>
  <c r="C163" i="16" s="1"/>
  <c r="D163" i="16" s="1"/>
  <c r="H163" i="16" s="1"/>
  <c r="C17" i="21"/>
  <c r="C25" i="21"/>
  <c r="C21" i="21"/>
  <c r="P21" i="21" s="1"/>
  <c r="C171" i="16" s="1"/>
  <c r="C28" i="21"/>
  <c r="C24" i="21"/>
  <c r="C20" i="21"/>
  <c r="C16" i="21"/>
  <c r="C278" i="16"/>
  <c r="C27" i="21"/>
  <c r="C23" i="21"/>
  <c r="C19" i="21"/>
  <c r="C15" i="21"/>
  <c r="C26" i="21"/>
  <c r="C22" i="21"/>
  <c r="C18" i="21"/>
  <c r="J153" i="20"/>
  <c r="J154" i="20"/>
  <c r="J155" i="20"/>
  <c r="J156" i="20"/>
  <c r="J157" i="20"/>
  <c r="J158" i="20"/>
  <c r="J159" i="20"/>
  <c r="J160" i="20"/>
  <c r="J161" i="20"/>
  <c r="J162" i="20"/>
  <c r="J163" i="20"/>
  <c r="J164" i="20"/>
  <c r="J165" i="20"/>
  <c r="J166" i="20"/>
  <c r="J167" i="20"/>
  <c r="J168" i="20"/>
  <c r="J169" i="20"/>
  <c r="J152" i="20"/>
  <c r="J151" i="20"/>
  <c r="J135" i="20"/>
  <c r="J136" i="20"/>
  <c r="J137" i="20"/>
  <c r="J138" i="20"/>
  <c r="J139" i="20"/>
  <c r="J140" i="20"/>
  <c r="J141" i="20"/>
  <c r="J142" i="20"/>
  <c r="J143" i="20"/>
  <c r="J144" i="20"/>
  <c r="J145" i="20"/>
  <c r="J146" i="20"/>
  <c r="J147" i="20"/>
  <c r="J148" i="20"/>
  <c r="J149" i="20"/>
  <c r="J150" i="20"/>
  <c r="J134" i="20"/>
  <c r="J133" i="20"/>
  <c r="J117" i="20"/>
  <c r="J118" i="20"/>
  <c r="J119" i="20"/>
  <c r="J120" i="20"/>
  <c r="J121" i="20"/>
  <c r="J122" i="20"/>
  <c r="J123" i="20"/>
  <c r="J124" i="20"/>
  <c r="J125" i="20"/>
  <c r="J126" i="20"/>
  <c r="J127" i="20"/>
  <c r="J128" i="20"/>
  <c r="J129" i="20"/>
  <c r="J130" i="20"/>
  <c r="J131" i="20"/>
  <c r="J132" i="20"/>
  <c r="J116" i="20"/>
  <c r="J99" i="20"/>
  <c r="J100" i="20"/>
  <c r="J101" i="20"/>
  <c r="J102" i="20"/>
  <c r="J103" i="20"/>
  <c r="J104" i="20"/>
  <c r="J105" i="20"/>
  <c r="J106" i="20"/>
  <c r="J107" i="20"/>
  <c r="J108" i="20"/>
  <c r="J109" i="20"/>
  <c r="J110" i="20"/>
  <c r="J111" i="20"/>
  <c r="J112" i="20"/>
  <c r="J113" i="20"/>
  <c r="J114" i="20"/>
  <c r="J115" i="20"/>
  <c r="J98" i="20"/>
  <c r="J81" i="20"/>
  <c r="J82" i="20"/>
  <c r="J83" i="20"/>
  <c r="J84" i="20"/>
  <c r="J85" i="20"/>
  <c r="J86" i="20"/>
  <c r="J87" i="20"/>
  <c r="J88" i="20"/>
  <c r="J89" i="20"/>
  <c r="J90" i="20"/>
  <c r="J91" i="20"/>
  <c r="J92" i="20"/>
  <c r="J93" i="20"/>
  <c r="J94" i="20"/>
  <c r="J95" i="20"/>
  <c r="J96" i="20"/>
  <c r="J97" i="20"/>
  <c r="J80" i="20"/>
  <c r="J63" i="20"/>
  <c r="J64" i="20"/>
  <c r="J65" i="20"/>
  <c r="J66" i="20"/>
  <c r="J67" i="20"/>
  <c r="J68" i="20"/>
  <c r="J69" i="20"/>
  <c r="J70" i="20"/>
  <c r="J71" i="20"/>
  <c r="J72" i="20"/>
  <c r="J73" i="20"/>
  <c r="J74" i="20"/>
  <c r="J75" i="20"/>
  <c r="J76" i="20"/>
  <c r="J77" i="20"/>
  <c r="J78" i="20"/>
  <c r="J79" i="20"/>
  <c r="J62" i="20"/>
  <c r="J45" i="20"/>
  <c r="J46" i="20"/>
  <c r="J47" i="20"/>
  <c r="J48" i="20"/>
  <c r="J49" i="20"/>
  <c r="J50" i="20"/>
  <c r="J51" i="20"/>
  <c r="J52" i="20"/>
  <c r="J53" i="20"/>
  <c r="J54" i="20"/>
  <c r="J55" i="20"/>
  <c r="J56" i="20"/>
  <c r="J57" i="20"/>
  <c r="J58" i="20"/>
  <c r="J59" i="20"/>
  <c r="J60" i="20"/>
  <c r="J61" i="20"/>
  <c r="J44" i="20"/>
  <c r="J40" i="20"/>
  <c r="J41" i="20"/>
  <c r="J42" i="20"/>
  <c r="J43" i="20"/>
  <c r="J27" i="20"/>
  <c r="J28" i="20"/>
  <c r="J29" i="20"/>
  <c r="J30" i="20"/>
  <c r="J31" i="20"/>
  <c r="J32" i="20"/>
  <c r="J33" i="20"/>
  <c r="J34" i="20"/>
  <c r="J35" i="20"/>
  <c r="J36" i="20"/>
  <c r="J37" i="20"/>
  <c r="J38" i="20"/>
  <c r="J39" i="20"/>
  <c r="J26" i="20"/>
  <c r="X23" i="20"/>
  <c r="I168" i="20" s="1"/>
  <c r="X24" i="20"/>
  <c r="I169" i="20" s="1"/>
  <c r="V23" i="20"/>
  <c r="I150" i="20" s="1"/>
  <c r="V24" i="20"/>
  <c r="I151" i="20" s="1"/>
  <c r="T23" i="20"/>
  <c r="I132" i="20" s="1"/>
  <c r="T24" i="20"/>
  <c r="I133" i="20" s="1"/>
  <c r="R23" i="20"/>
  <c r="I114" i="20" s="1"/>
  <c r="R24" i="20"/>
  <c r="I115" i="20" s="1"/>
  <c r="P23" i="20"/>
  <c r="I96" i="20" s="1"/>
  <c r="P24" i="20"/>
  <c r="I97" i="20" s="1"/>
  <c r="N14" i="20"/>
  <c r="I69" i="20" s="1"/>
  <c r="N15" i="20"/>
  <c r="I70" i="20" s="1"/>
  <c r="N23" i="20"/>
  <c r="I78" i="20" s="1"/>
  <c r="N24" i="20"/>
  <c r="I79" i="20" s="1"/>
  <c r="L23" i="20"/>
  <c r="I60" i="20" s="1"/>
  <c r="L24" i="20"/>
  <c r="I61" i="20" s="1"/>
  <c r="J23" i="20"/>
  <c r="I42" i="20" s="1"/>
  <c r="J24" i="20"/>
  <c r="I43" i="20" s="1"/>
  <c r="E8" i="20"/>
  <c r="E9" i="20"/>
  <c r="E10" i="20"/>
  <c r="E11" i="20"/>
  <c r="E12" i="20"/>
  <c r="E13" i="20"/>
  <c r="E14" i="20"/>
  <c r="E15" i="20"/>
  <c r="E16" i="20"/>
  <c r="E17" i="20"/>
  <c r="E18" i="20"/>
  <c r="E19" i="20"/>
  <c r="E20" i="20"/>
  <c r="E21" i="20"/>
  <c r="E22" i="20"/>
  <c r="E23" i="20"/>
  <c r="E24" i="20"/>
  <c r="B8" i="20"/>
  <c r="B9" i="20"/>
  <c r="B10" i="20"/>
  <c r="B11" i="20"/>
  <c r="B12" i="20"/>
  <c r="B13" i="20"/>
  <c r="B14" i="20"/>
  <c r="B15" i="20"/>
  <c r="B16" i="20"/>
  <c r="B17" i="20"/>
  <c r="B18" i="20"/>
  <c r="B19" i="20"/>
  <c r="B20" i="20"/>
  <c r="B21" i="20"/>
  <c r="B22" i="20"/>
  <c r="B23" i="20"/>
  <c r="B24" i="20"/>
  <c r="B63" i="15"/>
  <c r="B62" i="15"/>
  <c r="B61" i="15"/>
  <c r="B60" i="15"/>
  <c r="D162" i="16" l="1"/>
  <c r="H162" i="16" s="1"/>
  <c r="F187" i="16"/>
  <c r="E187" i="16"/>
  <c r="C285" i="16"/>
  <c r="P19" i="21"/>
  <c r="C169" i="16" s="1"/>
  <c r="D169" i="16" s="1"/>
  <c r="H169" i="16" s="1"/>
  <c r="C291" i="16"/>
  <c r="P25" i="21"/>
  <c r="C175" i="16" s="1"/>
  <c r="D175" i="16" s="1"/>
  <c r="H175" i="16" s="1"/>
  <c r="C293" i="16"/>
  <c r="P27" i="21"/>
  <c r="C177" i="16" s="1"/>
  <c r="D177" i="16" s="1"/>
  <c r="H177" i="16" s="1"/>
  <c r="C283" i="16"/>
  <c r="P17" i="21"/>
  <c r="C167" i="16" s="1"/>
  <c r="D167" i="16" s="1"/>
  <c r="H167" i="16" s="1"/>
  <c r="C289" i="16"/>
  <c r="P23" i="21"/>
  <c r="C173" i="16" s="1"/>
  <c r="C284" i="16"/>
  <c r="P18" i="21"/>
  <c r="C168" i="16" s="1"/>
  <c r="D168" i="16" s="1"/>
  <c r="H168" i="16" s="1"/>
  <c r="C282" i="16"/>
  <c r="P16" i="21"/>
  <c r="C288" i="16"/>
  <c r="P22" i="21"/>
  <c r="C172" i="16" s="1"/>
  <c r="D172" i="16" s="1"/>
  <c r="H172" i="16" s="1"/>
  <c r="C286" i="16"/>
  <c r="P20" i="21"/>
  <c r="C170" i="16" s="1"/>
  <c r="D170" i="16" s="1"/>
  <c r="H170" i="16" s="1"/>
  <c r="C292" i="16"/>
  <c r="P26" i="21"/>
  <c r="C176" i="16" s="1"/>
  <c r="D176" i="16" s="1"/>
  <c r="H176" i="16" s="1"/>
  <c r="C290" i="16"/>
  <c r="P24" i="21"/>
  <c r="C174" i="16" s="1"/>
  <c r="D174" i="16" s="1"/>
  <c r="H174" i="16" s="1"/>
  <c r="C281" i="16"/>
  <c r="P15" i="21"/>
  <c r="C165" i="16" s="1"/>
  <c r="D165" i="16" s="1"/>
  <c r="H165" i="16" s="1"/>
  <c r="C294" i="16"/>
  <c r="P28" i="21"/>
  <c r="C178" i="16" s="1"/>
  <c r="D178" i="16" s="1"/>
  <c r="H178" i="16" s="1"/>
  <c r="C279" i="16"/>
  <c r="L8" i="21"/>
  <c r="H9" i="21" s="1"/>
  <c r="C287" i="16"/>
  <c r="D217" i="16"/>
  <c r="H217" i="16" s="1"/>
  <c r="D213" i="16"/>
  <c r="H213" i="16" s="1"/>
  <c r="D207" i="16"/>
  <c r="H207" i="16" s="1"/>
  <c r="D216" i="16"/>
  <c r="H216" i="16" s="1"/>
  <c r="D210" i="16"/>
  <c r="H210" i="16" s="1"/>
  <c r="D206" i="16"/>
  <c r="H206" i="16" s="1"/>
  <c r="D204" i="16"/>
  <c r="H204" i="16" s="1"/>
  <c r="D215" i="16"/>
  <c r="H215" i="16" s="1"/>
  <c r="D209" i="16"/>
  <c r="H209" i="16" s="1"/>
  <c r="D214" i="16"/>
  <c r="H214" i="16" s="1"/>
  <c r="D205" i="16"/>
  <c r="H205" i="16" s="1"/>
  <c r="C277" i="16"/>
  <c r="D60" i="15"/>
  <c r="D63" i="15" s="1"/>
  <c r="C11" i="1"/>
  <c r="C187" i="16" l="1"/>
  <c r="D187" i="16" s="1"/>
  <c r="H187" i="16" s="1"/>
  <c r="F166" i="16"/>
  <c r="E166" i="16"/>
  <c r="C257" i="16"/>
  <c r="C256" i="16"/>
  <c r="C255" i="16"/>
  <c r="C66" i="21"/>
  <c r="K10" i="15"/>
  <c r="C166" i="16" l="1"/>
  <c r="D166" i="16" s="1"/>
  <c r="H166" i="16" s="1"/>
  <c r="C22" i="10"/>
  <c r="C11" i="10"/>
  <c r="X8" i="20"/>
  <c r="I153" i="20" s="1"/>
  <c r="X9" i="20"/>
  <c r="I154" i="20" s="1"/>
  <c r="X10" i="20"/>
  <c r="I155" i="20" s="1"/>
  <c r="X11" i="20"/>
  <c r="I156" i="20" s="1"/>
  <c r="X12" i="20"/>
  <c r="I157" i="20" s="1"/>
  <c r="X13" i="20"/>
  <c r="I158" i="20" s="1"/>
  <c r="X14" i="20"/>
  <c r="I159" i="20" s="1"/>
  <c r="X15" i="20"/>
  <c r="I160" i="20" s="1"/>
  <c r="X16" i="20"/>
  <c r="I161" i="20" s="1"/>
  <c r="X17" i="20"/>
  <c r="I162" i="20" s="1"/>
  <c r="X18" i="20"/>
  <c r="I163" i="20" s="1"/>
  <c r="X19" i="20"/>
  <c r="I164" i="20" s="1"/>
  <c r="X20" i="20"/>
  <c r="I165" i="20" s="1"/>
  <c r="X21" i="20"/>
  <c r="I166" i="20" s="1"/>
  <c r="X22" i="20"/>
  <c r="I167" i="20" s="1"/>
  <c r="X7" i="20"/>
  <c r="I152" i="20" s="1"/>
  <c r="V8" i="20"/>
  <c r="I135" i="20" s="1"/>
  <c r="V9" i="20"/>
  <c r="I136" i="20" s="1"/>
  <c r="V10" i="20"/>
  <c r="I137" i="20" s="1"/>
  <c r="V11" i="20"/>
  <c r="I138" i="20" s="1"/>
  <c r="V12" i="20"/>
  <c r="I139" i="20" s="1"/>
  <c r="V13" i="20"/>
  <c r="I140" i="20" s="1"/>
  <c r="V14" i="20"/>
  <c r="I141" i="20" s="1"/>
  <c r="V15" i="20"/>
  <c r="I142" i="20" s="1"/>
  <c r="V16" i="20"/>
  <c r="I143" i="20" s="1"/>
  <c r="V17" i="20"/>
  <c r="I144" i="20" s="1"/>
  <c r="V18" i="20"/>
  <c r="I145" i="20" s="1"/>
  <c r="V19" i="20"/>
  <c r="I146" i="20" s="1"/>
  <c r="V20" i="20"/>
  <c r="I147" i="20" s="1"/>
  <c r="V21" i="20"/>
  <c r="I148" i="20" s="1"/>
  <c r="V22" i="20"/>
  <c r="I149" i="20" s="1"/>
  <c r="V7" i="20"/>
  <c r="I134" i="20" s="1"/>
  <c r="T8" i="20"/>
  <c r="I117" i="20" s="1"/>
  <c r="T9" i="20"/>
  <c r="I118" i="20" s="1"/>
  <c r="T10" i="20"/>
  <c r="I119" i="20" s="1"/>
  <c r="T11" i="20"/>
  <c r="I120" i="20" s="1"/>
  <c r="T12" i="20"/>
  <c r="I121" i="20" s="1"/>
  <c r="T13" i="20"/>
  <c r="I122" i="20" s="1"/>
  <c r="T14" i="20"/>
  <c r="I123" i="20" s="1"/>
  <c r="T15" i="20"/>
  <c r="I124" i="20" s="1"/>
  <c r="T16" i="20"/>
  <c r="I125" i="20" s="1"/>
  <c r="T17" i="20"/>
  <c r="I126" i="20" s="1"/>
  <c r="T18" i="20"/>
  <c r="I127" i="20" s="1"/>
  <c r="T19" i="20"/>
  <c r="I128" i="20" s="1"/>
  <c r="T20" i="20"/>
  <c r="I129" i="20" s="1"/>
  <c r="T21" i="20"/>
  <c r="I130" i="20" s="1"/>
  <c r="T22" i="20"/>
  <c r="I131" i="20" s="1"/>
  <c r="T7" i="20"/>
  <c r="I116" i="20" s="1"/>
  <c r="L8" i="20"/>
  <c r="I45" i="20" s="1"/>
  <c r="L9" i="20"/>
  <c r="I46" i="20" s="1"/>
  <c r="L10" i="20"/>
  <c r="I47" i="20" s="1"/>
  <c r="L11" i="20"/>
  <c r="I48" i="20" s="1"/>
  <c r="L12" i="20"/>
  <c r="I49" i="20" s="1"/>
  <c r="L13" i="20"/>
  <c r="I50" i="20" s="1"/>
  <c r="L14" i="20"/>
  <c r="I51" i="20" s="1"/>
  <c r="L15" i="20"/>
  <c r="I52" i="20" s="1"/>
  <c r="L16" i="20"/>
  <c r="I53" i="20" s="1"/>
  <c r="L17" i="20"/>
  <c r="I54" i="20" s="1"/>
  <c r="L18" i="20"/>
  <c r="I55" i="20" s="1"/>
  <c r="L19" i="20"/>
  <c r="I56" i="20" s="1"/>
  <c r="L20" i="20"/>
  <c r="I57" i="20" s="1"/>
  <c r="L21" i="20"/>
  <c r="I58" i="20" s="1"/>
  <c r="L22" i="20"/>
  <c r="I59" i="20" s="1"/>
  <c r="P8" i="20"/>
  <c r="I81" i="20" s="1"/>
  <c r="P9" i="20"/>
  <c r="I82" i="20" s="1"/>
  <c r="P10" i="20"/>
  <c r="I83" i="20" s="1"/>
  <c r="P11" i="20"/>
  <c r="I84" i="20" s="1"/>
  <c r="P12" i="20"/>
  <c r="I85" i="20" s="1"/>
  <c r="P13" i="20"/>
  <c r="I86" i="20" s="1"/>
  <c r="P14" i="20"/>
  <c r="I87" i="20" s="1"/>
  <c r="P15" i="20"/>
  <c r="I88" i="20" s="1"/>
  <c r="P16" i="20"/>
  <c r="I89" i="20" s="1"/>
  <c r="P17" i="20"/>
  <c r="I90" i="20" s="1"/>
  <c r="P18" i="20"/>
  <c r="I91" i="20" s="1"/>
  <c r="P19" i="20"/>
  <c r="I92" i="20" s="1"/>
  <c r="P20" i="20"/>
  <c r="I93" i="20" s="1"/>
  <c r="P21" i="20"/>
  <c r="I94" i="20" s="1"/>
  <c r="P22" i="20"/>
  <c r="I95" i="20" s="1"/>
  <c r="R8" i="20"/>
  <c r="I99" i="20" s="1"/>
  <c r="R9" i="20"/>
  <c r="I100" i="20" s="1"/>
  <c r="R10" i="20"/>
  <c r="I101" i="20" s="1"/>
  <c r="R11" i="20"/>
  <c r="I102" i="20" s="1"/>
  <c r="R12" i="20"/>
  <c r="I103" i="20" s="1"/>
  <c r="R13" i="20"/>
  <c r="I104" i="20" s="1"/>
  <c r="R14" i="20"/>
  <c r="I105" i="20" s="1"/>
  <c r="R15" i="20"/>
  <c r="I106" i="20" s="1"/>
  <c r="R16" i="20"/>
  <c r="I107" i="20" s="1"/>
  <c r="R17" i="20"/>
  <c r="I108" i="20" s="1"/>
  <c r="R18" i="20"/>
  <c r="I109" i="20" s="1"/>
  <c r="R19" i="20"/>
  <c r="I110" i="20" s="1"/>
  <c r="R20" i="20"/>
  <c r="I111" i="20" s="1"/>
  <c r="R21" i="20"/>
  <c r="I112" i="20" s="1"/>
  <c r="R22" i="20"/>
  <c r="I113" i="20" s="1"/>
  <c r="R7" i="20"/>
  <c r="I98" i="20" s="1"/>
  <c r="P7" i="20"/>
  <c r="I80" i="20" s="1"/>
  <c r="L7" i="20" l="1"/>
  <c r="I44" i="20" s="1"/>
  <c r="J8" i="20"/>
  <c r="I27" i="20" s="1"/>
  <c r="J9" i="20"/>
  <c r="I28" i="20" s="1"/>
  <c r="J10" i="20"/>
  <c r="I29" i="20" s="1"/>
  <c r="J11" i="20"/>
  <c r="I30" i="20" s="1"/>
  <c r="J12" i="20"/>
  <c r="I31" i="20" s="1"/>
  <c r="J13" i="20"/>
  <c r="I32" i="20" s="1"/>
  <c r="J14" i="20"/>
  <c r="I33" i="20" s="1"/>
  <c r="J15" i="20"/>
  <c r="I34" i="20" s="1"/>
  <c r="J16" i="20"/>
  <c r="I35" i="20" s="1"/>
  <c r="J17" i="20"/>
  <c r="I36" i="20" s="1"/>
  <c r="J18" i="20"/>
  <c r="I37" i="20" s="1"/>
  <c r="J19" i="20"/>
  <c r="I38" i="20" s="1"/>
  <c r="J20" i="20"/>
  <c r="I39" i="20" s="1"/>
  <c r="J21" i="20"/>
  <c r="I40" i="20" s="1"/>
  <c r="J22" i="20"/>
  <c r="I41" i="20" s="1"/>
  <c r="J7" i="20"/>
  <c r="I26" i="20" s="1"/>
  <c r="N8" i="20"/>
  <c r="I63" i="20" s="1"/>
  <c r="N9" i="20"/>
  <c r="I64" i="20" s="1"/>
  <c r="N10" i="20"/>
  <c r="I65" i="20" s="1"/>
  <c r="N11" i="20"/>
  <c r="I66" i="20" s="1"/>
  <c r="N12" i="20"/>
  <c r="I67" i="20" s="1"/>
  <c r="N13" i="20"/>
  <c r="I68" i="20" s="1"/>
  <c r="N16" i="20"/>
  <c r="I71" i="20" s="1"/>
  <c r="N17" i="20"/>
  <c r="I72" i="20" s="1"/>
  <c r="N18" i="20"/>
  <c r="I73" i="20" s="1"/>
  <c r="N19" i="20"/>
  <c r="I74" i="20" s="1"/>
  <c r="N20" i="20"/>
  <c r="I75" i="20" s="1"/>
  <c r="N21" i="20"/>
  <c r="I76" i="20" s="1"/>
  <c r="N22" i="20"/>
  <c r="I77" i="20" s="1"/>
  <c r="N7" i="20"/>
  <c r="I62" i="20" s="1"/>
  <c r="B7" i="20" l="1"/>
  <c r="E7" i="20"/>
  <c r="E5" i="20"/>
  <c r="B5" i="20"/>
  <c r="C17" i="20" s="1"/>
  <c r="D17" i="20" s="1"/>
  <c r="O12" i="15"/>
  <c r="B42" i="15"/>
  <c r="B41" i="15"/>
  <c r="B50" i="15"/>
  <c r="B52" i="15" s="1"/>
  <c r="B49" i="15"/>
  <c r="B51" i="15" s="1"/>
  <c r="D125" i="16" l="1"/>
  <c r="H125" i="16" s="1"/>
  <c r="D103" i="16"/>
  <c r="H103" i="16" s="1"/>
  <c r="D25" i="15"/>
  <c r="F24" i="20"/>
  <c r="F14" i="20"/>
  <c r="G14" i="20" s="1"/>
  <c r="F16" i="20"/>
  <c r="G16" i="20" s="1"/>
  <c r="F21" i="20"/>
  <c r="G21" i="20" s="1"/>
  <c r="F19" i="20"/>
  <c r="G19" i="20" s="1"/>
  <c r="F17" i="20"/>
  <c r="G17" i="20" s="1"/>
  <c r="F15" i="20"/>
  <c r="G15" i="20" s="1"/>
  <c r="C18" i="20"/>
  <c r="D18" i="20" s="1"/>
  <c r="C20" i="20"/>
  <c r="D20" i="20" s="1"/>
  <c r="C15" i="20"/>
  <c r="D15" i="20" s="1"/>
  <c r="C11" i="20"/>
  <c r="D11" i="20" s="1"/>
  <c r="C22" i="20"/>
  <c r="D22" i="20" s="1"/>
  <c r="C10" i="20"/>
  <c r="D10" i="20" s="1"/>
  <c r="C19" i="20"/>
  <c r="D19" i="20" s="1"/>
  <c r="C16" i="20"/>
  <c r="D16" i="20" s="1"/>
  <c r="C13" i="20"/>
  <c r="D13" i="20" s="1"/>
  <c r="C9" i="20"/>
  <c r="D9" i="20" s="1"/>
  <c r="C21" i="20"/>
  <c r="D21" i="20" s="1"/>
  <c r="C12" i="20"/>
  <c r="D12" i="20" s="1"/>
  <c r="D50" i="15"/>
  <c r="F8" i="20"/>
  <c r="G8" i="20" s="1"/>
  <c r="F11" i="20"/>
  <c r="G11" i="20" s="1"/>
  <c r="F22" i="20"/>
  <c r="G22" i="20" s="1"/>
  <c r="F12" i="20"/>
  <c r="G12" i="20" s="1"/>
  <c r="F18" i="20"/>
  <c r="G18" i="20" s="1"/>
  <c r="F23" i="20"/>
  <c r="F10" i="20"/>
  <c r="G10" i="20" s="1"/>
  <c r="F13" i="20"/>
  <c r="G13" i="20" s="1"/>
  <c r="F20" i="20"/>
  <c r="G20" i="20" s="1"/>
  <c r="F9" i="20"/>
  <c r="G9" i="20" s="1"/>
  <c r="F7" i="20"/>
  <c r="G7" i="20" s="1"/>
  <c r="C14" i="20"/>
  <c r="D14" i="20" s="1"/>
  <c r="C8" i="20"/>
  <c r="D8" i="20" s="1"/>
  <c r="C7" i="20"/>
  <c r="D7" i="20" s="1"/>
  <c r="D41" i="15"/>
  <c r="D23" i="15" s="1"/>
  <c r="D49" i="15"/>
  <c r="D11" i="15" s="1"/>
  <c r="A39" i="10"/>
  <c r="A38" i="10"/>
  <c r="B45" i="15"/>
  <c r="B44" i="15"/>
  <c r="B46" i="15" l="1"/>
  <c r="D104" i="16" s="1"/>
  <c r="D20" i="15"/>
  <c r="B47" i="15"/>
  <c r="D126" i="16" s="1"/>
  <c r="D26" i="20"/>
  <c r="D27" i="20"/>
  <c r="C27" i="20"/>
  <c r="C26" i="20"/>
  <c r="D44" i="15"/>
  <c r="D12" i="15" s="1"/>
  <c r="D21" i="15" l="1"/>
  <c r="C113" i="16"/>
  <c r="D171" i="16" s="1"/>
  <c r="H171" i="16" s="1"/>
  <c r="H104" i="16"/>
  <c r="C251" i="16"/>
  <c r="C35" i="20" s="1"/>
  <c r="C252" i="16"/>
  <c r="C36" i="20" s="1"/>
  <c r="H126" i="16"/>
  <c r="C135" i="16"/>
  <c r="D135" i="16" s="1"/>
  <c r="D45" i="15"/>
  <c r="C30" i="20"/>
  <c r="C31" i="20"/>
  <c r="B35" i="1"/>
  <c r="D113" i="16" l="1"/>
  <c r="H113" i="16" s="1"/>
  <c r="D192" i="16"/>
  <c r="H192" i="16" s="1"/>
  <c r="H135" i="16"/>
  <c r="C37" i="20"/>
  <c r="D252" i="16" s="1"/>
  <c r="B12" i="10"/>
  <c r="H159" i="16" l="1"/>
  <c r="B22" i="10"/>
  <c r="B11" i="10"/>
  <c r="B21" i="10" l="1"/>
  <c r="B43" i="15"/>
  <c r="C155" i="16" s="1"/>
  <c r="F14" i="1"/>
  <c r="B43" i="1"/>
  <c r="B10" i="10"/>
  <c r="O8" i="15" l="1"/>
  <c r="O13" i="15" l="1"/>
  <c r="O11" i="15"/>
  <c r="O10" i="15"/>
  <c r="D101" i="16" l="1"/>
  <c r="H101" i="16" s="1"/>
  <c r="D7" i="15"/>
  <c r="C31" i="21" s="1"/>
  <c r="C10" i="15"/>
  <c r="I2" i="15" s="1"/>
  <c r="C14" i="1"/>
  <c r="I3" i="15" l="1"/>
  <c r="K2" i="15" s="1"/>
  <c r="K34" i="15" s="1"/>
  <c r="C33" i="21"/>
  <c r="B10" i="15"/>
  <c r="A28" i="1"/>
  <c r="A29" i="1"/>
  <c r="A30" i="1"/>
  <c r="K31" i="21" l="1"/>
  <c r="L32" i="21"/>
  <c r="H32" i="21" l="1"/>
  <c r="C69" i="21"/>
  <c r="C67" i="21"/>
  <c r="C68" i="21" s="1"/>
  <c r="B124" i="16"/>
  <c r="C70" i="21" l="1"/>
  <c r="C71" i="21" s="1"/>
  <c r="A33" i="2"/>
  <c r="A36" i="1"/>
  <c r="D16" i="1"/>
  <c r="D15" i="1"/>
  <c r="B3" i="6" l="1"/>
  <c r="E7" i="6"/>
  <c r="E18" i="6"/>
  <c r="E12" i="6"/>
  <c r="E16" i="6"/>
  <c r="E17" i="6"/>
  <c r="E10" i="6"/>
  <c r="E20" i="6"/>
  <c r="E9" i="6"/>
  <c r="E19" i="6"/>
  <c r="A126" i="16"/>
  <c r="A127" i="16"/>
  <c r="A128" i="16"/>
  <c r="A129" i="16"/>
  <c r="A131" i="16"/>
  <c r="A132" i="16"/>
  <c r="A133" i="16"/>
  <c r="A134" i="16"/>
  <c r="A135" i="16"/>
  <c r="A139" i="16"/>
  <c r="A104" i="16"/>
  <c r="A105" i="16"/>
  <c r="A106" i="16"/>
  <c r="A107" i="16"/>
  <c r="A108" i="16"/>
  <c r="A109" i="16"/>
  <c r="A110" i="16"/>
  <c r="A111" i="16"/>
  <c r="A112" i="16"/>
  <c r="A113" i="16"/>
  <c r="A114" i="16"/>
  <c r="A117" i="16"/>
  <c r="A28" i="6"/>
  <c r="A125" i="16" l="1"/>
  <c r="A103" i="16"/>
  <c r="A140" i="16"/>
  <c r="A143" i="16"/>
  <c r="A118" i="16"/>
  <c r="A121" i="16"/>
  <c r="A130" i="16"/>
  <c r="A136" i="16"/>
  <c r="A44" i="1"/>
  <c r="D153" i="16" l="1"/>
  <c r="H153" i="16" s="1"/>
  <c r="D151" i="16"/>
  <c r="H151" i="16" s="1"/>
  <c r="D150" i="16"/>
  <c r="H150" i="16" s="1"/>
  <c r="D149" i="16"/>
  <c r="H149" i="16" s="1"/>
  <c r="D148" i="16"/>
  <c r="H148" i="16" s="1"/>
  <c r="C160" i="16"/>
  <c r="C181" i="16"/>
  <c r="D200" i="16" s="1"/>
  <c r="I101" i="16" l="1"/>
  <c r="I43" i="1"/>
  <c r="I16" i="1"/>
  <c r="I15" i="1"/>
  <c r="I34" i="1"/>
  <c r="C16" i="1"/>
  <c r="L34" i="1" l="1"/>
  <c r="I38" i="1"/>
  <c r="I39" i="1"/>
  <c r="I40" i="1"/>
  <c r="I41" i="1"/>
  <c r="I42" i="1"/>
  <c r="I37" i="1"/>
  <c r="C34" i="1"/>
  <c r="A37" i="1"/>
  <c r="A38" i="1"/>
  <c r="A34" i="1"/>
  <c r="A33" i="1"/>
  <c r="A32" i="1"/>
  <c r="A31" i="1"/>
  <c r="C33" i="1"/>
  <c r="C32" i="1"/>
  <c r="C31" i="1"/>
  <c r="C30" i="1"/>
  <c r="C29" i="1"/>
  <c r="C42" i="1"/>
  <c r="A42" i="1"/>
  <c r="C41" i="1"/>
  <c r="A41" i="1"/>
  <c r="C40" i="1"/>
  <c r="A40" i="1"/>
  <c r="C39" i="1"/>
  <c r="A39" i="1"/>
  <c r="C38" i="1"/>
  <c r="C37" i="1"/>
  <c r="C15" i="1"/>
  <c r="J43" i="1" l="1"/>
  <c r="L43" i="1"/>
  <c r="B102" i="16"/>
  <c r="K28" i="10" l="1"/>
  <c r="C36" i="1"/>
  <c r="D49" i="1" s="1"/>
  <c r="A40" i="10"/>
  <c r="L12" i="15"/>
  <c r="L13" i="15"/>
  <c r="L14" i="15"/>
  <c r="D9" i="2"/>
  <c r="D10" i="2"/>
  <c r="D11" i="2"/>
  <c r="D8" i="2"/>
  <c r="C6" i="1"/>
  <c r="A25" i="2"/>
  <c r="E8" i="6" l="1"/>
  <c r="E25" i="6" s="1"/>
  <c r="D34" i="1"/>
  <c r="A27" i="6" l="1"/>
  <c r="I30" i="1"/>
  <c r="I31" i="1"/>
  <c r="I32" i="1"/>
  <c r="I33" i="1"/>
  <c r="I29" i="1"/>
  <c r="I6" i="1"/>
  <c r="I7" i="1"/>
  <c r="I8" i="1"/>
  <c r="I9" i="1"/>
  <c r="I10" i="1"/>
  <c r="I11" i="1"/>
  <c r="I14" i="1"/>
  <c r="J16" i="1"/>
  <c r="C7" i="1"/>
  <c r="C8" i="1"/>
  <c r="C9" i="1"/>
  <c r="C10" i="1"/>
  <c r="C5" i="1" l="1"/>
  <c r="D3" i="2"/>
  <c r="G2" i="2"/>
  <c r="F44" i="2" s="1"/>
  <c r="J17" i="1"/>
  <c r="J34" i="1"/>
  <c r="C28" i="1" s="1"/>
  <c r="K25" i="10"/>
  <c r="K24" i="10"/>
  <c r="K26" i="10"/>
  <c r="K27" i="10"/>
  <c r="K30" i="10"/>
  <c r="D23" i="10" l="1"/>
  <c r="B39" i="10" s="1"/>
  <c r="C17" i="1"/>
  <c r="D48" i="1"/>
  <c r="D47" i="1"/>
  <c r="D50" i="1" l="1"/>
  <c r="C2" i="1" l="1"/>
  <c r="G2" i="1" s="1"/>
  <c r="D27" i="1" s="1"/>
  <c r="C41" i="10" l="1"/>
  <c r="C3" i="1"/>
  <c r="I45" i="1"/>
  <c r="C3" i="10" l="1"/>
  <c r="K17" i="10"/>
  <c r="K16" i="10"/>
  <c r="K15" i="10"/>
  <c r="K14" i="10"/>
  <c r="K19" i="10"/>
  <c r="K13" i="10"/>
  <c r="D12" i="10" l="1"/>
  <c r="B38" i="10" l="1"/>
  <c r="B40" i="10" s="1"/>
  <c r="N5" i="10"/>
  <c r="B9" i="10" l="1"/>
  <c r="C38" i="10"/>
  <c r="C39" i="10"/>
  <c r="B2" i="10" s="1"/>
  <c r="D20" i="25"/>
  <c r="B51" i="25" l="1"/>
  <c r="A21" i="25"/>
  <c r="D2" i="25" s="1"/>
  <c r="F2" i="25" s="1"/>
  <c r="D3" i="25" l="1"/>
  <c r="F44" i="25"/>
  <c r="D69" i="21" s="1"/>
  <c r="E2" i="21" s="1"/>
  <c r="B2" i="6" l="1"/>
  <c r="I2" i="21"/>
  <c r="G4" i="2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200-000001000000}">
      <text>
        <r>
          <rPr>
            <b/>
            <sz val="9"/>
            <color indexed="81"/>
            <rFont val="Tahoma"/>
            <family val="2"/>
          </rPr>
          <t xml:space="preserve">
Contact person for</t>
        </r>
        <r>
          <rPr>
            <sz val="9"/>
            <color indexed="81"/>
            <rFont val="Tahoma"/>
            <family val="2"/>
          </rPr>
          <t xml:space="preserve">
coordination of contractual contents and their adaption or changes to contractual requirements.
- Conclusion and extension of the confidentiality agreement with the Volkswagen Group
- Coordination of contractual contents and their modification
- Contact for information about changes with influence on contract
- Contact for assessments of service quality in organization in the CSN services 
- Data maintenance of the contact persons for CSN service  
  (contacts for contract, invoice, technique and application support)
  display of changes in data  and changes of responsibility
  Notification of change on csn.service@o-s.de
</t>
        </r>
      </text>
    </comment>
    <comment ref="D15" authorId="0" shapeId="0" xr:uid="{00000000-0006-0000-0200-000002000000}">
      <text>
        <r>
          <rPr>
            <b/>
            <sz val="9"/>
            <color indexed="81"/>
            <rFont val="Tahoma"/>
            <family val="2"/>
          </rPr>
          <t xml:space="preserve">
Contact person for</t>
        </r>
        <r>
          <rPr>
            <sz val="9"/>
            <color indexed="81"/>
            <rFont val="Tahoma"/>
            <family val="2"/>
          </rPr>
          <t xml:space="preserve">
- Coordination ot technical characteristics of the network connection 
  to the partner network of Volkswagen/Audi
- Contact for information about technical changes of the network connection,
  maintenance works and malfunction as well as requests for configuration
- Contact for assessments of service quality of technical topics
  in the CSN services 
- Data maintenance of the technical contact for CSN service 
  Notification of change on csn.service@o-s.de
</t>
        </r>
      </text>
    </comment>
    <comment ref="D24" authorId="0" shapeId="0" xr:uid="{00000000-0006-0000-0200-000003000000}">
      <text>
        <r>
          <rPr>
            <b/>
            <sz val="9"/>
            <color indexed="81"/>
            <rFont val="Tahoma"/>
            <family val="2"/>
          </rPr>
          <t xml:space="preserve">
Contact person for</t>
        </r>
        <r>
          <rPr>
            <sz val="9"/>
            <color indexed="81"/>
            <rFont val="Tahoma"/>
            <family val="2"/>
          </rPr>
          <t xml:space="preserve">
- Coordination of invoicing and provision of the invoices for CSN service 
- Contact for information about changes in CSN service with influence on costs and billing process
- Contact person will be named on the invoices for CSN service
- Contact for assessments of service quality of contractual topics
  in the CSN services 
- Data maintenance of the contact for billing for CSN service 
  Notification of change on csn.service@o-s.de
</t>
        </r>
      </text>
    </comment>
    <comment ref="D32" authorId="0" shapeId="0" xr:uid="{00000000-0006-0000-0200-000004000000}">
      <text>
        <r>
          <rPr>
            <sz val="9"/>
            <color indexed="81"/>
            <rFont val="Tahoma"/>
            <family val="2"/>
          </rPr>
          <t xml:space="preserve">
- Additional contacts for support of the communication between
  operational services and the contractor for ongoing application usage (e. g. service provider)
- short-term placement of information, focused on malfunctions or short-term maintenance works 
- quick information reception and handover to management, key users or users of affected applications
- Accessibility is focused on email. It´s possible to name functional mailboxes.
There can be named several contacts for this role</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J6" authorId="0" shapeId="0" xr:uid="{436D1F08-B26C-40EE-BA54-69C613BB1761}">
      <text>
        <r>
          <rPr>
            <sz val="9"/>
            <color indexed="81"/>
            <rFont val="Segoe UI"/>
            <family val="2"/>
          </rPr>
          <t xml:space="preserve">You are looking for more information about the applications to ensure your selection?
Please follow the link.
</t>
        </r>
      </text>
    </comment>
    <comment ref="L8" authorId="0" shapeId="0" xr:uid="{00000000-0006-0000-0300-000001000000}">
      <text>
        <r>
          <rPr>
            <sz val="10"/>
            <color indexed="81"/>
            <rFont val="Tahoma"/>
            <family val="2"/>
          </rPr>
          <t xml:space="preserve">
</t>
        </r>
        <r>
          <rPr>
            <b/>
            <sz val="10"/>
            <color indexed="81"/>
            <rFont val="Tahoma"/>
            <family val="2"/>
          </rPr>
          <t>What are the tasks of a contact for applications?</t>
        </r>
        <r>
          <rPr>
            <sz val="10"/>
            <color indexed="81"/>
            <rFont val="Tahoma"/>
            <family val="2"/>
          </rPr>
          <t xml:space="preserve">
A contact with focus on application topics. The focus can be limited to selected applications.
- KeyUser for active applications in the PDM service level 
- acceptance and implementation of application information resp. 
  internal routing and processing of requests inclusive feedback to 
  operational services for all active applications of the PDM service level 
- contact for clarification of support contents
- contact for application information (e.g. release ugrade, patches), maintenance works, malfunction notification resp. request for configuration - application-independent
- contact for assessments of service quality in the CSN application services
There can be named several contacts for this role.
</t>
        </r>
      </text>
    </comment>
    <comment ref="A21" authorId="0" shapeId="0" xr:uid="{1243B0AB-1B82-4039-8C5B-011A3DB30985}">
      <text>
        <r>
          <rPr>
            <sz val="9"/>
            <color indexed="81"/>
            <rFont val="Arial"/>
            <family val="2"/>
          </rPr>
          <t>The program "</t>
        </r>
        <r>
          <rPr>
            <b/>
            <sz val="14"/>
            <color indexed="81"/>
            <rFont val="Arial"/>
            <family val="2"/>
          </rPr>
          <t>social media at Audi</t>
        </r>
        <r>
          <rPr>
            <sz val="9"/>
            <color indexed="81"/>
            <rFont val="Arial"/>
            <family val="2"/>
          </rPr>
          <t xml:space="preserve">"  supports  Audi stragety
By the  program "Social media"  Audi established a work environment with modern communication- and collaboration options for more efficency  in collaboration and a higher attractiveness as an employer. 
</t>
        </r>
        <r>
          <rPr>
            <sz val="9"/>
            <color indexed="81"/>
            <rFont val="Segoe UI"/>
            <family val="2"/>
          </rPr>
          <t xml:space="preserve">
</t>
        </r>
        <r>
          <rPr>
            <b/>
            <sz val="14"/>
            <color indexed="81"/>
            <rFont val="Segoe UI"/>
            <family val="2"/>
          </rPr>
          <t>Audi mynet</t>
        </r>
        <r>
          <rPr>
            <sz val="9"/>
            <color indexed="81"/>
            <rFont val="Segoe UI"/>
            <family val="2"/>
          </rPr>
          <t xml:space="preserve"> Information 
Relevant information about business and company, locations and also access for applications and services
</t>
        </r>
        <r>
          <rPr>
            <b/>
            <sz val="14"/>
            <color indexed="81"/>
            <rFont val="Segoe UI"/>
            <family val="2"/>
          </rPr>
          <t>Audi dox</t>
        </r>
        <r>
          <rPr>
            <sz val="9"/>
            <color indexed="81"/>
            <rFont val="Segoe UI"/>
            <family val="2"/>
          </rPr>
          <t xml:space="preserve">  Collaboration 
Teamwork  on documents and files.
</t>
        </r>
        <r>
          <rPr>
            <b/>
            <sz val="14"/>
            <color indexed="81"/>
            <rFont val="Segoe UI"/>
            <family val="2"/>
          </rPr>
          <t>Audi contacts</t>
        </r>
        <r>
          <rPr>
            <sz val="9"/>
            <color indexed="81"/>
            <rFont val="Segoe UI"/>
            <family val="2"/>
          </rPr>
          <t xml:space="preserve"> Expert-search and networking 
central communication share for  networking of employees and expert search
</t>
        </r>
        <r>
          <rPr>
            <b/>
            <sz val="14"/>
            <color indexed="81"/>
            <rFont val="Segoe UI"/>
            <family val="2"/>
          </rPr>
          <t>Audi team</t>
        </r>
        <r>
          <rPr>
            <sz val="9"/>
            <color indexed="81"/>
            <rFont val="Segoe UI"/>
            <family val="2"/>
          </rPr>
          <t xml:space="preserve"> Professional exchange
Sharing expertise, more efficency by interaction and  joint actions in encouraging innovations</t>
        </r>
        <r>
          <rPr>
            <b/>
            <sz val="14"/>
            <color indexed="81"/>
            <rFont val="Segoe UI"/>
            <family val="2"/>
          </rPr>
          <t xml:space="preserve">
Audi wiki </t>
        </r>
        <r>
          <rPr>
            <sz val="9"/>
            <color indexed="81"/>
            <rFont val="Segoe UI"/>
            <family val="2"/>
          </rPr>
          <t>Knowledge-management  
specialist information of and for employees on  knowledge set-up and knowledge transfer</t>
        </r>
        <r>
          <rPr>
            <b/>
            <sz val="14"/>
            <color indexed="81"/>
            <rFont val="Segoe UI"/>
            <family val="2"/>
          </rPr>
          <t xml:space="preserve">
Audi mediathek</t>
        </r>
        <r>
          <rPr>
            <sz val="9"/>
            <color indexed="81"/>
            <rFont val="Segoe UI"/>
            <family val="2"/>
          </rPr>
          <t xml:space="preserve"> Media pool 
central platform for  publication of picture-, video- and audi-files for internal use.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I6" authorId="0" shapeId="0" xr:uid="{B7B0BFD1-8C5B-4721-8822-AB148ACA5DCB}">
      <text>
        <r>
          <rPr>
            <sz val="9"/>
            <color indexed="81"/>
            <rFont val="Arial"/>
            <family val="2"/>
          </rPr>
          <t xml:space="preserve">
Record the current status of the TISAX assessment of the location.</t>
        </r>
        <r>
          <rPr>
            <sz val="9"/>
            <color indexed="81"/>
            <rFont val="Calibri"/>
            <family val="2"/>
            <scheme val="minor"/>
          </rPr>
          <t xml:space="preserve">
- </t>
        </r>
        <r>
          <rPr>
            <b/>
            <sz val="9"/>
            <color indexed="81"/>
            <rFont val="Arial"/>
            <family val="2"/>
          </rPr>
          <t>1-normal protection needs</t>
        </r>
        <r>
          <rPr>
            <sz val="9"/>
            <color indexed="81"/>
            <rFont val="Arial"/>
            <family val="2"/>
          </rPr>
          <t xml:space="preserve">
  A valid TISAX label AL1 is available for the location
-</t>
        </r>
        <r>
          <rPr>
            <b/>
            <sz val="9"/>
            <color indexed="81"/>
            <rFont val="Arial"/>
            <family val="2"/>
          </rPr>
          <t xml:space="preserve"> 2-high protection needs</t>
        </r>
        <r>
          <rPr>
            <sz val="9"/>
            <color indexed="81"/>
            <rFont val="Arial"/>
            <family val="2"/>
          </rPr>
          <t xml:space="preserve">
  A valid TISAX label AL2 is available for the location
- </t>
        </r>
        <r>
          <rPr>
            <b/>
            <sz val="9"/>
            <color indexed="81"/>
            <rFont val="Arial"/>
            <family val="2"/>
          </rPr>
          <t>3-very high protection needs</t>
        </r>
        <r>
          <rPr>
            <sz val="9"/>
            <color indexed="81"/>
            <rFont val="Arial"/>
            <family val="2"/>
          </rPr>
          <t xml:space="preserve">
  A valid TISAX label AL3 is available for the location
- </t>
        </r>
        <r>
          <rPr>
            <b/>
            <sz val="9"/>
            <color indexed="81"/>
            <rFont val="Arial"/>
            <family val="2"/>
          </rPr>
          <t>no audit in preparation yet</t>
        </r>
        <r>
          <rPr>
            <sz val="9"/>
            <color indexed="81"/>
            <rFont val="Arial"/>
            <family val="2"/>
          </rPr>
          <t xml:space="preserve">
  No TISAX assessment is yet in preparation for the location
- </t>
        </r>
        <r>
          <rPr>
            <b/>
            <sz val="9"/>
            <color indexed="81"/>
            <rFont val="Arial"/>
            <family val="2"/>
          </rPr>
          <t>audit in preparation</t>
        </r>
        <r>
          <rPr>
            <sz val="9"/>
            <color indexed="81"/>
            <rFont val="Arial"/>
            <family val="2"/>
          </rPr>
          <t xml:space="preserve">
  The TISAX assessment is in preparation or ongoing
- </t>
        </r>
        <r>
          <rPr>
            <b/>
            <sz val="9"/>
            <color indexed="81"/>
            <rFont val="Arial"/>
            <family val="2"/>
          </rPr>
          <t>no re-assessment initiated</t>
        </r>
        <r>
          <rPr>
            <sz val="9"/>
            <color indexed="81"/>
            <rFont val="Arial"/>
            <family val="2"/>
          </rPr>
          <t xml:space="preserve">
  There was a TISAX label, it's validity has expired. 
  A re-assessment has not yet been initiated..
- </t>
        </r>
        <r>
          <rPr>
            <b/>
            <sz val="9"/>
            <color indexed="81"/>
            <rFont val="Arial"/>
            <family val="2"/>
          </rPr>
          <t xml:space="preserve">re-assessment is ongoing </t>
        </r>
        <r>
          <rPr>
            <sz val="9"/>
            <color indexed="81"/>
            <rFont val="Arial"/>
            <family val="2"/>
          </rPr>
          <t xml:space="preserve">
  There was a TISAX label, it's validity has expired.  
  The re-assessment is currently being carried out.
-</t>
        </r>
        <r>
          <rPr>
            <b/>
            <sz val="9"/>
            <color indexed="81"/>
            <rFont val="Arial"/>
            <family val="2"/>
          </rPr>
          <t xml:space="preserve"> status unknown</t>
        </r>
        <r>
          <rPr>
            <sz val="9"/>
            <color indexed="81"/>
            <rFont val="Arial"/>
            <family val="2"/>
          </rPr>
          <t xml:space="preserve">
  There are no status information regarding TISAX assessment available.
  Information can´t be handed out.</t>
        </r>
      </text>
    </comment>
    <comment ref="I8" authorId="0" shapeId="0" xr:uid="{13921F95-9F35-425E-8E2D-4A741AE34A1A}">
      <text>
        <r>
          <rPr>
            <sz val="9"/>
            <color indexed="81"/>
            <rFont val="Arial"/>
            <family val="2"/>
          </rPr>
          <t xml:space="preserve">
Record the current status of the TISAX assessment of the location.
- </t>
        </r>
        <r>
          <rPr>
            <b/>
            <sz val="9"/>
            <color indexed="81"/>
            <rFont val="Arial"/>
            <family val="2"/>
          </rPr>
          <t>1-normal protection needs</t>
        </r>
        <r>
          <rPr>
            <sz val="9"/>
            <color indexed="81"/>
            <rFont val="Arial"/>
            <family val="2"/>
          </rPr>
          <t xml:space="preserve">
  A valid TISAX label AL1 is available for the location
- </t>
        </r>
        <r>
          <rPr>
            <b/>
            <sz val="9"/>
            <color indexed="81"/>
            <rFont val="Arial"/>
            <family val="2"/>
          </rPr>
          <t>2-high protection needs</t>
        </r>
        <r>
          <rPr>
            <sz val="9"/>
            <color indexed="81"/>
            <rFont val="Arial"/>
            <family val="2"/>
          </rPr>
          <t xml:space="preserve">
  A valid TISAX label AL2 is available for the location
- </t>
        </r>
        <r>
          <rPr>
            <b/>
            <sz val="9"/>
            <color indexed="81"/>
            <rFont val="Arial"/>
            <family val="2"/>
          </rPr>
          <t>3-very high protection needs</t>
        </r>
        <r>
          <rPr>
            <sz val="9"/>
            <color indexed="81"/>
            <rFont val="Arial"/>
            <family val="2"/>
          </rPr>
          <t xml:space="preserve">
  A valid TISAX label AL3 is available for the location
- </t>
        </r>
        <r>
          <rPr>
            <b/>
            <sz val="9"/>
            <color indexed="81"/>
            <rFont val="Arial"/>
            <family val="2"/>
          </rPr>
          <t>no audit in preparation yet</t>
        </r>
        <r>
          <rPr>
            <sz val="9"/>
            <color indexed="81"/>
            <rFont val="Arial"/>
            <family val="2"/>
          </rPr>
          <t xml:space="preserve">
  No TISAX assessment is yet in preparation for the location
- </t>
        </r>
        <r>
          <rPr>
            <b/>
            <sz val="9"/>
            <color indexed="81"/>
            <rFont val="Arial"/>
            <family val="2"/>
          </rPr>
          <t>audit in preparation</t>
        </r>
        <r>
          <rPr>
            <sz val="9"/>
            <color indexed="81"/>
            <rFont val="Arial"/>
            <family val="2"/>
          </rPr>
          <t xml:space="preserve">
  The TISAX assessment is in preparation or ongoing
- </t>
        </r>
        <r>
          <rPr>
            <b/>
            <sz val="9"/>
            <color indexed="81"/>
            <rFont val="Arial"/>
            <family val="2"/>
          </rPr>
          <t>no re-assessment initiated</t>
        </r>
        <r>
          <rPr>
            <sz val="9"/>
            <color indexed="81"/>
            <rFont val="Arial"/>
            <family val="2"/>
          </rPr>
          <t xml:space="preserve">
  There was a TISAX label, it's validity has expired. 
  A re-assessment has not yet been initiated..
- </t>
        </r>
        <r>
          <rPr>
            <b/>
            <sz val="9"/>
            <color indexed="81"/>
            <rFont val="Arial"/>
            <family val="2"/>
          </rPr>
          <t xml:space="preserve">re-assessment is ongoing </t>
        </r>
        <r>
          <rPr>
            <sz val="9"/>
            <color indexed="81"/>
            <rFont val="Arial"/>
            <family val="2"/>
          </rPr>
          <t xml:space="preserve">
  There was a TISAX label, it's validity has expired.  
  The re-assessment is currently being carried out.
- </t>
        </r>
        <r>
          <rPr>
            <b/>
            <sz val="9"/>
            <color indexed="81"/>
            <rFont val="Arial"/>
            <family val="2"/>
          </rPr>
          <t>status unknown</t>
        </r>
        <r>
          <rPr>
            <sz val="9"/>
            <color indexed="81"/>
            <rFont val="Arial"/>
            <family val="2"/>
          </rPr>
          <t xml:space="preserve">
  There are no status information regarding TISAX assessment available.
  Information can´t be handed out.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7" authorId="0" shapeId="0" xr:uid="{00000000-0006-0000-0F00-000001000000}">
      <text>
        <r>
          <rPr>
            <b/>
            <sz val="9"/>
            <color indexed="81"/>
            <rFont val="Tahoma"/>
            <family val="2"/>
          </rPr>
          <t xml:space="preserve">
Ansprechpartner für</t>
        </r>
        <r>
          <rPr>
            <sz val="9"/>
            <color indexed="81"/>
            <rFont val="Tahoma"/>
            <family val="2"/>
          </rPr>
          <t xml:space="preserve">
- Abstimmung vertraglicher Inhalte &amp; deren Änderung
- Abschluss und Verlängerung der Geheimhaltungsvereinbarung VW/Audi
- Entgegennahme von Benachrichtigungen zu Änderungen mit Vertragsrelevanz,
  Informationen zu Wartungen/Störungen und allgemeinem Konfigurationsbedarf 
  (mit/ohne Vertragsrelevanz)
</t>
        </r>
        <r>
          <rPr>
            <b/>
            <sz val="9"/>
            <color indexed="81"/>
            <rFont val="Tahoma"/>
            <family val="2"/>
          </rPr>
          <t>allgemeine Aufgaben</t>
        </r>
        <r>
          <rPr>
            <sz val="9"/>
            <color indexed="81"/>
            <rFont val="Tahoma"/>
            <family val="2"/>
          </rPr>
          <t xml:space="preserve">
- Teilnahme CSN Kundenbefragung im Auftrag von VW/Audi
- Pflege aller Ansprechpartner-Daten: 
  Anzeige von Änderungen der Kontaktdaten und Zuständigkeitswechsel 
  an csn.service@o-s.de
</t>
        </r>
      </text>
    </comment>
    <comment ref="D15" authorId="0" shapeId="0" xr:uid="{00000000-0006-0000-0F00-000002000000}">
      <text>
        <r>
          <rPr>
            <b/>
            <sz val="9"/>
            <color indexed="81"/>
            <rFont val="Tahoma"/>
            <family val="2"/>
          </rPr>
          <t xml:space="preserve">
Ansprechpartner für</t>
        </r>
        <r>
          <rPr>
            <sz val="9"/>
            <color indexed="81"/>
            <rFont val="Tahoma"/>
            <family val="2"/>
          </rPr>
          <t xml:space="preserve">
- Abstimmung der technischen Ausprägung der Netzanbindung
- Entgegennahme von Benachrichtigungen zu Wartungsarbeiten &amp; Störungen 
  sowie allgemeinem Konfigurationsbedarf
</t>
        </r>
        <r>
          <rPr>
            <b/>
            <sz val="9"/>
            <color indexed="81"/>
            <rFont val="Tahoma"/>
            <family val="2"/>
          </rPr>
          <t>allgemeine Aufgaben</t>
        </r>
        <r>
          <rPr>
            <sz val="9"/>
            <color indexed="81"/>
            <rFont val="Tahoma"/>
            <family val="2"/>
          </rPr>
          <t xml:space="preserve">
- Teilnahme CSN Kundenbefragung im Auftrag von VW/Audi
- Anzeige von Änderungen der Kontaktdaten und Zuständigkeitswechsel
  an csn.service@o-s.de</t>
        </r>
      </text>
    </comment>
    <comment ref="D24" authorId="0" shapeId="0" xr:uid="{00000000-0006-0000-0F00-000003000000}">
      <text>
        <r>
          <rPr>
            <b/>
            <sz val="9"/>
            <color indexed="81"/>
            <rFont val="Tahoma"/>
            <family val="2"/>
          </rPr>
          <t xml:space="preserve">
Ansprechpartner für</t>
        </r>
        <r>
          <rPr>
            <sz val="9"/>
            <color indexed="81"/>
            <rFont val="Tahoma"/>
            <family val="2"/>
          </rPr>
          <t xml:space="preserve">
- Abstimmungen zur Rechnungslegung und Rechnungszustellung
- Entgegennahme von Benachrichtigungen zu Änderungen mit Auswirkung 
  auf Kosten und den Abrechnungsprozesse 
- Der Ansprechpartner wird namentlich auf den Rechnungen benannt
</t>
        </r>
        <r>
          <rPr>
            <b/>
            <sz val="9"/>
            <color indexed="81"/>
            <rFont val="Tahoma"/>
            <family val="2"/>
          </rPr>
          <t>allgemeine Aufgaben</t>
        </r>
        <r>
          <rPr>
            <sz val="9"/>
            <color indexed="81"/>
            <rFont val="Tahoma"/>
            <family val="2"/>
          </rPr>
          <t xml:space="preserve">
- Teilnahme CSN Kundenbefragung im Auftrag von VW/Audi
- Anzeige von Änderungen der Kontaktdaten und Zuständigkeitswechsel
  an csn.service@o-s.de
</t>
        </r>
      </text>
    </comment>
    <comment ref="D32" authorId="0" shapeId="0" xr:uid="{00000000-0006-0000-0F00-000004000000}">
      <text>
        <r>
          <rPr>
            <b/>
            <sz val="9"/>
            <color indexed="81"/>
            <rFont val="Tahoma"/>
            <family val="2"/>
          </rPr>
          <t xml:space="preserve">
zusätzliche Kontakte für</t>
        </r>
        <r>
          <rPr>
            <sz val="9"/>
            <color indexed="81"/>
            <rFont val="Tahoma"/>
            <family val="2"/>
          </rPr>
          <t xml:space="preserve">
- schnelle Annahme wichtiger Informationen und gezielte Weiterleitung an 
  betroffene KeyUser, Anwender, Management. 
  Die Benachrichtigungen enthalten Informationen zu Wartungen/Störungen und 
  kurzfristigen Konfigurationsbedarf
- Kommunikation ist beschränkt auf E-Mail
- keine personenbezogene Rolle, kann von zentralen Postfächern, Hotline u.a.  
  wahrgenommen werden
</t>
        </r>
        <r>
          <rPr>
            <b/>
            <sz val="9"/>
            <color indexed="81"/>
            <rFont val="Tahoma"/>
            <family val="2"/>
          </rPr>
          <t>allgemeine Aufgaben</t>
        </r>
        <r>
          <rPr>
            <sz val="9"/>
            <color indexed="81"/>
            <rFont val="Tahoma"/>
            <family val="2"/>
          </rPr>
          <t xml:space="preserve">
- Pflege der Ansprechpartner-Daten, Anzeige von Änderungen an csn.service@o-s.de
</t>
        </r>
      </text>
    </comment>
  </commentList>
</comments>
</file>

<file path=xl/sharedStrings.xml><?xml version="1.0" encoding="utf-8"?>
<sst xmlns="http://schemas.openxmlformats.org/spreadsheetml/2006/main" count="1753" uniqueCount="1137">
  <si>
    <t>VW</t>
  </si>
  <si>
    <t>Audi</t>
  </si>
  <si>
    <t>HyperKVS</t>
  </si>
  <si>
    <t>CONNECT</t>
  </si>
  <si>
    <t>VW DMS</t>
  </si>
  <si>
    <t>QTS</t>
  </si>
  <si>
    <t>(TE) DMZ Laufwerk</t>
  </si>
  <si>
    <t>ECA</t>
  </si>
  <si>
    <t>Citrix / WTS</t>
  </si>
  <si>
    <t>SimplX</t>
  </si>
  <si>
    <t xml:space="preserve">SFV </t>
  </si>
  <si>
    <t>Firma</t>
  </si>
  <si>
    <t>PLZ</t>
  </si>
  <si>
    <t>Ort</t>
  </si>
  <si>
    <t>Land</t>
  </si>
  <si>
    <t>DUNS-Nummer</t>
  </si>
  <si>
    <t>Umsatzsteuer-ID</t>
  </si>
  <si>
    <t>personenunabhängige E-Mail-Adresse</t>
  </si>
  <si>
    <t>Name</t>
  </si>
  <si>
    <t>Vorname</t>
  </si>
  <si>
    <t>Telefon</t>
  </si>
  <si>
    <r>
      <rPr>
        <b/>
        <sz val="11"/>
        <color theme="1"/>
        <rFont val="Tahoma"/>
        <family val="2"/>
      </rPr>
      <t>ENX</t>
    </r>
    <r>
      <rPr>
        <sz val="11"/>
        <color theme="1"/>
        <rFont val="Tahoma"/>
        <family val="2"/>
      </rPr>
      <t xml:space="preserve"> </t>
    </r>
  </si>
  <si>
    <r>
      <rPr>
        <b/>
        <sz val="11"/>
        <color theme="1"/>
        <rFont val="Tahoma"/>
        <family val="2"/>
      </rPr>
      <t>VPN</t>
    </r>
    <r>
      <rPr>
        <sz val="11"/>
        <color theme="1"/>
        <rFont val="Tahoma"/>
        <family val="2"/>
      </rPr>
      <t xml:space="preserve"> </t>
    </r>
  </si>
  <si>
    <r>
      <rPr>
        <b/>
        <sz val="11"/>
        <color theme="1"/>
        <rFont val="Tahoma"/>
        <family val="2"/>
      </rPr>
      <t>Internet VPN</t>
    </r>
    <r>
      <rPr>
        <sz val="11"/>
        <color theme="1"/>
        <rFont val="Tahoma"/>
        <family val="2"/>
      </rPr>
      <t xml:space="preserve"> </t>
    </r>
  </si>
  <si>
    <t>Volkswagen</t>
  </si>
  <si>
    <t>Safe/Travel-X</t>
  </si>
  <si>
    <t>VDI/Citrix</t>
  </si>
  <si>
    <t>PFN</t>
  </si>
  <si>
    <t>DMU-Raum</t>
  </si>
  <si>
    <t>Abteilung/OE/Kostenstelle</t>
  </si>
  <si>
    <t>Hyper KVS</t>
  </si>
  <si>
    <t>Virtual Desktop, EAE-Toolkette</t>
  </si>
  <si>
    <t>OFTP2</t>
  </si>
  <si>
    <t>DMZ device</t>
  </si>
  <si>
    <t>E-Mail</t>
  </si>
  <si>
    <t>öffentlich</t>
  </si>
  <si>
    <t>intern</t>
  </si>
  <si>
    <t>vertraulich</t>
  </si>
  <si>
    <t>geheim</t>
  </si>
  <si>
    <t>Hardwarewartung IT-Systemen (Changes)</t>
  </si>
  <si>
    <t>Softwarewartung von IT-Systemen (Changes)</t>
  </si>
  <si>
    <t>Benutzerverwaltung</t>
  </si>
  <si>
    <t>Berechtigungsverwaltung</t>
  </si>
  <si>
    <t>Partnerfirma</t>
  </si>
  <si>
    <t>Volkswagen ePortal, Audi Enterprise 2.0 – Plattform</t>
  </si>
  <si>
    <t>Anrede</t>
  </si>
  <si>
    <r>
      <t xml:space="preserve">Partnerfirma: </t>
    </r>
    <r>
      <rPr>
        <sz val="11"/>
        <color theme="0"/>
        <rFont val="Tahoma"/>
        <family val="2"/>
      </rPr>
      <t xml:space="preserve">Vertraglicher Ansprechpartner </t>
    </r>
  </si>
  <si>
    <r>
      <t xml:space="preserve">Partnerfirma:  </t>
    </r>
    <r>
      <rPr>
        <sz val="11"/>
        <color theme="0"/>
        <rFont val="Tahoma"/>
        <family val="2"/>
      </rPr>
      <t>Technischer Ansprechpartner</t>
    </r>
  </si>
  <si>
    <r>
      <t xml:space="preserve">Partnerfirma: </t>
    </r>
    <r>
      <rPr>
        <sz val="11"/>
        <color theme="0"/>
        <rFont val="Tahoma"/>
        <family val="2"/>
      </rPr>
      <t>Ansprechpartner Rechnung</t>
    </r>
  </si>
  <si>
    <t>x</t>
  </si>
  <si>
    <t>Stammdaten</t>
  </si>
  <si>
    <t>JIT</t>
  </si>
  <si>
    <t>Ansprechpartner</t>
  </si>
  <si>
    <t>Rechnungsanschrift</t>
  </si>
  <si>
    <t>Vertragsdaten Ihres Unternehmens</t>
  </si>
  <si>
    <t xml:space="preserve">sonstiger Service </t>
  </si>
  <si>
    <t xml:space="preserve">csn.service@o-s.de </t>
  </si>
  <si>
    <t>Herr</t>
  </si>
  <si>
    <t>Frau</t>
  </si>
  <si>
    <t>Mr</t>
  </si>
  <si>
    <t>CY</t>
  </si>
  <si>
    <t>Cyprus</t>
  </si>
  <si>
    <t>Zypern</t>
  </si>
  <si>
    <t>CF</t>
  </si>
  <si>
    <t>Central African Republic</t>
  </si>
  <si>
    <t>Zentralafrikanische Republik</t>
  </si>
  <si>
    <t>XP</t>
  </si>
  <si>
    <t>West Bank / Gaza</t>
  </si>
  <si>
    <t>Westjordanland/Gazastreifen</t>
  </si>
  <si>
    <t>BY</t>
  </si>
  <si>
    <t>Belarus</t>
  </si>
  <si>
    <t>Weißrußland</t>
  </si>
  <si>
    <t>WF</t>
  </si>
  <si>
    <t>Wallis and Futuna</t>
  </si>
  <si>
    <t>Wallis und Futuna</t>
  </si>
  <si>
    <t>VN</t>
  </si>
  <si>
    <t>Vietnam</t>
  </si>
  <si>
    <t>US</t>
  </si>
  <si>
    <t>United States</t>
  </si>
  <si>
    <t>Vereinigte Staaten</t>
  </si>
  <si>
    <t>TZ</t>
  </si>
  <si>
    <t>United Republic of Tanzania</t>
  </si>
  <si>
    <t>Vereinigte Republik Tansania</t>
  </si>
  <si>
    <t>AE</t>
  </si>
  <si>
    <t>United Arab Emirates</t>
  </si>
  <si>
    <t>Vereinigte Arabische Emirate</t>
  </si>
  <si>
    <t>VE</t>
  </si>
  <si>
    <t>Venezuela</t>
  </si>
  <si>
    <t>VA</t>
  </si>
  <si>
    <t>Vatican City</t>
  </si>
  <si>
    <t>Vatikanstadt</t>
  </si>
  <si>
    <t>VU</t>
  </si>
  <si>
    <t>Vanuatu</t>
  </si>
  <si>
    <t>UZ</t>
  </si>
  <si>
    <t>Uzbekistan</t>
  </si>
  <si>
    <t>Usbekistan</t>
  </si>
  <si>
    <t>UY</t>
  </si>
  <si>
    <t>Uruguay</t>
  </si>
  <si>
    <t>HU</t>
  </si>
  <si>
    <t>Hungary</t>
  </si>
  <si>
    <t>Ungarn</t>
  </si>
  <si>
    <t>UA</t>
  </si>
  <si>
    <t>Ukraine</t>
  </si>
  <si>
    <t>UG</t>
  </si>
  <si>
    <t>Uganda</t>
  </si>
  <si>
    <t>TV</t>
  </si>
  <si>
    <t>Tuvalu</t>
  </si>
  <si>
    <t>TC</t>
  </si>
  <si>
    <t>Turks and Caicos Islands</t>
  </si>
  <si>
    <t>Turks- und Caicosinseln</t>
  </si>
  <si>
    <t>TM</t>
  </si>
  <si>
    <t>Turkmenistan</t>
  </si>
  <si>
    <t>TR</t>
  </si>
  <si>
    <t>Turkey</t>
  </si>
  <si>
    <t>Türkei</t>
  </si>
  <si>
    <t>TN</t>
  </si>
  <si>
    <t>Tunisia</t>
  </si>
  <si>
    <t>Tunesien</t>
  </si>
  <si>
    <t>CZ</t>
  </si>
  <si>
    <t>Czech Republic</t>
  </si>
  <si>
    <t>Tschechische Republik</t>
  </si>
  <si>
    <t>TD</t>
  </si>
  <si>
    <t>Chad</t>
  </si>
  <si>
    <t>Tschad</t>
  </si>
  <si>
    <t>TT</t>
  </si>
  <si>
    <t>Trinidad and Tobago</t>
  </si>
  <si>
    <t>Trinidad und Tobago</t>
  </si>
  <si>
    <t>TO</t>
  </si>
  <si>
    <t>Tonga</t>
  </si>
  <si>
    <t>TG</t>
  </si>
  <si>
    <t>Togo</t>
  </si>
  <si>
    <t>TL</t>
  </si>
  <si>
    <t>Timor-Leste</t>
  </si>
  <si>
    <t>TH</t>
  </si>
  <si>
    <t>Thailand</t>
  </si>
  <si>
    <t>TW</t>
  </si>
  <si>
    <t>Taiwan</t>
  </si>
  <si>
    <t>TJ</t>
  </si>
  <si>
    <t>Tajikistan</t>
  </si>
  <si>
    <t>Tadschikistan</t>
  </si>
  <si>
    <t>SY</t>
  </si>
  <si>
    <t>Syria</t>
  </si>
  <si>
    <t>Syrien</t>
  </si>
  <si>
    <t>SZ</t>
  </si>
  <si>
    <t>Swaziland</t>
  </si>
  <si>
    <t>Swasiland</t>
  </si>
  <si>
    <t>SR</t>
  </si>
  <si>
    <t>Suriname</t>
  </si>
  <si>
    <t>SS</t>
  </si>
  <si>
    <t>South Sudan</t>
  </si>
  <si>
    <t>Südsudan</t>
  </si>
  <si>
    <t>SD</t>
  </si>
  <si>
    <t>Sudan</t>
  </si>
  <si>
    <t>ZA</t>
  </si>
  <si>
    <t>South Africa</t>
  </si>
  <si>
    <t>Südafrika</t>
  </si>
  <si>
    <t>VC</t>
  </si>
  <si>
    <t>St. Vincent</t>
  </si>
  <si>
    <t>PM</t>
  </si>
  <si>
    <t>St. Pierre and Miquelon</t>
  </si>
  <si>
    <t>St. Pierre und Miquelon</t>
  </si>
  <si>
    <t>LC</t>
  </si>
  <si>
    <t>St. Lucia</t>
  </si>
  <si>
    <t>KN</t>
  </si>
  <si>
    <t>St. Kitts and Nevis</t>
  </si>
  <si>
    <t>St. Kitts und Nevis</t>
  </si>
  <si>
    <t>SH</t>
  </si>
  <si>
    <t>St. Helena</t>
  </si>
  <si>
    <t>LK</t>
  </si>
  <si>
    <t>Sri Lanka</t>
  </si>
  <si>
    <t>ES</t>
  </si>
  <si>
    <t>Spain</t>
  </si>
  <si>
    <t>Spanien</t>
  </si>
  <si>
    <t>SO</t>
  </si>
  <si>
    <t>Somalia</t>
  </si>
  <si>
    <t>SI</t>
  </si>
  <si>
    <t>Slovenia</t>
  </si>
  <si>
    <t>Slowenien</t>
  </si>
  <si>
    <t>SK</t>
  </si>
  <si>
    <t>Slovakia</t>
  </si>
  <si>
    <t>Slowakei</t>
  </si>
  <si>
    <t>SG</t>
  </si>
  <si>
    <t>Singapore</t>
  </si>
  <si>
    <t>Singapur</t>
  </si>
  <si>
    <t>ZW</t>
  </si>
  <si>
    <t>Zimbabwe</t>
  </si>
  <si>
    <t>Simbabwe</t>
  </si>
  <si>
    <t>SL</t>
  </si>
  <si>
    <t>Sierra Leone</t>
  </si>
  <si>
    <t>SC</t>
  </si>
  <si>
    <t>Seychelles</t>
  </si>
  <si>
    <t>Seychellen</t>
  </si>
  <si>
    <t>CS</t>
  </si>
  <si>
    <t>Serbia</t>
  </si>
  <si>
    <t>Serbien</t>
  </si>
  <si>
    <t>SN</t>
  </si>
  <si>
    <t>Senegal</t>
  </si>
  <si>
    <t>CH</t>
  </si>
  <si>
    <t>Switzerland</t>
  </si>
  <si>
    <t>Schweiz</t>
  </si>
  <si>
    <t>SE</t>
  </si>
  <si>
    <t>Sweden</t>
  </si>
  <si>
    <t>Schweden</t>
  </si>
  <si>
    <t>SA</t>
  </si>
  <si>
    <t>Saudi Arabia</t>
  </si>
  <si>
    <t>Saudi-Arabien</t>
  </si>
  <si>
    <t>ST</t>
  </si>
  <si>
    <t>Sao Tome and Principe</t>
  </si>
  <si>
    <t>São Tomé und Principe</t>
  </si>
  <si>
    <t>SM</t>
  </si>
  <si>
    <t>San Marino</t>
  </si>
  <si>
    <t>WS</t>
  </si>
  <si>
    <t>Samoa</t>
  </si>
  <si>
    <t>ZM</t>
  </si>
  <si>
    <t>Zambia</t>
  </si>
  <si>
    <t>Sambia</t>
  </si>
  <si>
    <t>SB</t>
  </si>
  <si>
    <t>Solomon Islands</t>
  </si>
  <si>
    <t>Salomonen</t>
  </si>
  <si>
    <t>RU</t>
  </si>
  <si>
    <t>Russian Federation</t>
  </si>
  <si>
    <t>Russische Föderation</t>
  </si>
  <si>
    <t>RO</t>
  </si>
  <si>
    <t>Romania</t>
  </si>
  <si>
    <t>Rumänien</t>
  </si>
  <si>
    <t>RW</t>
  </si>
  <si>
    <t>Rwanda</t>
  </si>
  <si>
    <t>Ruanda</t>
  </si>
  <si>
    <t>KR</t>
  </si>
  <si>
    <t>Republic of Korea</t>
  </si>
  <si>
    <t>Republik Korea</t>
  </si>
  <si>
    <t>CG</t>
  </si>
  <si>
    <t>Republic of Congo</t>
  </si>
  <si>
    <t>Republik Kongo</t>
  </si>
  <si>
    <t>PT</t>
  </si>
  <si>
    <t>Portugal</t>
  </si>
  <si>
    <t>PL</t>
  </si>
  <si>
    <t>Poland</t>
  </si>
  <si>
    <t>Polen</t>
  </si>
  <si>
    <t>XR</t>
  </si>
  <si>
    <t>Polar Regions</t>
  </si>
  <si>
    <t>Polargebiete</t>
  </si>
  <si>
    <t>PN</t>
  </si>
  <si>
    <t>Pitcairn</t>
  </si>
  <si>
    <t>PH</t>
  </si>
  <si>
    <t>Philippines</t>
  </si>
  <si>
    <t>Philippinen</t>
  </si>
  <si>
    <t>PE</t>
  </si>
  <si>
    <t>Peru</t>
  </si>
  <si>
    <t>PY</t>
  </si>
  <si>
    <t>Paraguay</t>
  </si>
  <si>
    <t>PG</t>
  </si>
  <si>
    <t>Papua New Guinea</t>
  </si>
  <si>
    <t>Papua-Neuguinea</t>
  </si>
  <si>
    <t>PA</t>
  </si>
  <si>
    <t>Panama</t>
  </si>
  <si>
    <t>PW</t>
  </si>
  <si>
    <t>Palau</t>
  </si>
  <si>
    <t>PK</t>
  </si>
  <si>
    <t>Pakistan</t>
  </si>
  <si>
    <t>AT</t>
  </si>
  <si>
    <t>Austria</t>
  </si>
  <si>
    <t>Österreich</t>
  </si>
  <si>
    <t>OM</t>
  </si>
  <si>
    <t>Oman</t>
  </si>
  <si>
    <t>NO</t>
  </si>
  <si>
    <t>Norway</t>
  </si>
  <si>
    <t>Norwegen</t>
  </si>
  <si>
    <t>MP</t>
  </si>
  <si>
    <t>Northern Mariana Islands</t>
  </si>
  <si>
    <t>Nördliche Marianen</t>
  </si>
  <si>
    <t>KP</t>
  </si>
  <si>
    <t>North Korea</t>
  </si>
  <si>
    <t>Nordkorea</t>
  </si>
  <si>
    <t>NG</t>
  </si>
  <si>
    <t>Nigeria</t>
  </si>
  <si>
    <t>NE</t>
  </si>
  <si>
    <t>Niger</t>
  </si>
  <si>
    <t>AN</t>
  </si>
  <si>
    <t>Netherlands Antilles</t>
  </si>
  <si>
    <t>Niederländische Antillen</t>
  </si>
  <si>
    <t>NL</t>
  </si>
  <si>
    <t>Netherlands</t>
  </si>
  <si>
    <t>Niederlande</t>
  </si>
  <si>
    <t>QU</t>
  </si>
  <si>
    <t>Unidentified countries and territories</t>
  </si>
  <si>
    <t>Nicht ermittelte Länder und Gebiete</t>
  </si>
  <si>
    <t>NI</t>
  </si>
  <si>
    <t>Nicaragua</t>
  </si>
  <si>
    <t>XZ</t>
  </si>
  <si>
    <t>New Zealand Oceania</t>
  </si>
  <si>
    <t>Neuseeländisch-Ozeanien</t>
  </si>
  <si>
    <t>NZ</t>
  </si>
  <si>
    <t>new Zealand</t>
  </si>
  <si>
    <t>Neuseeland</t>
  </si>
  <si>
    <t>NC</t>
  </si>
  <si>
    <t>New Caledonia</t>
  </si>
  <si>
    <t>Neukaledonien</t>
  </si>
  <si>
    <t>NP</t>
  </si>
  <si>
    <t>Nepal</t>
  </si>
  <si>
    <t>NR</t>
  </si>
  <si>
    <t>Nauru</t>
  </si>
  <si>
    <t>NA</t>
  </si>
  <si>
    <t>Namibia</t>
  </si>
  <si>
    <t>MM</t>
  </si>
  <si>
    <t>Myanmar</t>
  </si>
  <si>
    <t>MZ</t>
  </si>
  <si>
    <t>Mozambique</t>
  </si>
  <si>
    <t>Mosambik</t>
  </si>
  <si>
    <t>MS</t>
  </si>
  <si>
    <t>Montserrat</t>
  </si>
  <si>
    <t>ME</t>
  </si>
  <si>
    <t>Montenegro</t>
  </si>
  <si>
    <t>MN</t>
  </si>
  <si>
    <t>Mongolia</t>
  </si>
  <si>
    <t>Mongolei</t>
  </si>
  <si>
    <t>MC</t>
  </si>
  <si>
    <t>Monaco</t>
  </si>
  <si>
    <t>MD</t>
  </si>
  <si>
    <t>Moldova</t>
  </si>
  <si>
    <t>Moldawien</t>
  </si>
  <si>
    <t>MX</t>
  </si>
  <si>
    <t>Mexico</t>
  </si>
  <si>
    <t>Mexiko</t>
  </si>
  <si>
    <t>XL</t>
  </si>
  <si>
    <t>Melilla</t>
  </si>
  <si>
    <t>MK</t>
  </si>
  <si>
    <t>Former Yugoslav Republic of Macedonia</t>
  </si>
  <si>
    <t>Mazedonien</t>
  </si>
  <si>
    <t>YT</t>
  </si>
  <si>
    <t>Mayotte</t>
  </si>
  <si>
    <t>MU</t>
  </si>
  <si>
    <t>Mauritius</t>
  </si>
  <si>
    <t>MR</t>
  </si>
  <si>
    <t>Mauritania</t>
  </si>
  <si>
    <t>Mauretanien</t>
  </si>
  <si>
    <t>MH</t>
  </si>
  <si>
    <t>Marshall Islands</t>
  </si>
  <si>
    <t>Marshallinseln</t>
  </si>
  <si>
    <t>MA</t>
  </si>
  <si>
    <t>Morocco</t>
  </si>
  <si>
    <t>Marokko</t>
  </si>
  <si>
    <t>MT</t>
  </si>
  <si>
    <t>Malta</t>
  </si>
  <si>
    <t>ML</t>
  </si>
  <si>
    <t>Mali</t>
  </si>
  <si>
    <t>MV</t>
  </si>
  <si>
    <t>Maldives</t>
  </si>
  <si>
    <t>Malediven</t>
  </si>
  <si>
    <t>MY</t>
  </si>
  <si>
    <t>Malaysia</t>
  </si>
  <si>
    <t>MW</t>
  </si>
  <si>
    <t>Malawi</t>
  </si>
  <si>
    <t>MG</t>
  </si>
  <si>
    <t>Madagascar</t>
  </si>
  <si>
    <t>Madagaskar</t>
  </si>
  <si>
    <t>MO</t>
  </si>
  <si>
    <t>Macau</t>
  </si>
  <si>
    <t>LU</t>
  </si>
  <si>
    <t>Luxembourg</t>
  </si>
  <si>
    <t>Luxemburg</t>
  </si>
  <si>
    <t>LT</t>
  </si>
  <si>
    <t>Lithuania</t>
  </si>
  <si>
    <t>Litauen</t>
  </si>
  <si>
    <t>LI</t>
  </si>
  <si>
    <t>Liechtenstein</t>
  </si>
  <si>
    <t>LY</t>
  </si>
  <si>
    <t>Libya</t>
  </si>
  <si>
    <t>Libyen</t>
  </si>
  <si>
    <t>LR</t>
  </si>
  <si>
    <t>Liberia</t>
  </si>
  <si>
    <t>LB</t>
  </si>
  <si>
    <t>Lebanon</t>
  </si>
  <si>
    <t>Libanon</t>
  </si>
  <si>
    <t>LV</t>
  </si>
  <si>
    <t>Latvia</t>
  </si>
  <si>
    <t>Lettland</t>
  </si>
  <si>
    <t>LS</t>
  </si>
  <si>
    <t>Lesotho</t>
  </si>
  <si>
    <t>LA</t>
  </si>
  <si>
    <t>Laos</t>
  </si>
  <si>
    <t>KW</t>
  </si>
  <si>
    <t>Kuwait</t>
  </si>
  <si>
    <t>CU</t>
  </si>
  <si>
    <t>Cuba</t>
  </si>
  <si>
    <t>Kuba</t>
  </si>
  <si>
    <t>HR</t>
  </si>
  <si>
    <t>Croatia</t>
  </si>
  <si>
    <t>Kroatien</t>
  </si>
  <si>
    <t>XK</t>
  </si>
  <si>
    <t>Kosovo</t>
  </si>
  <si>
    <t>KM</t>
  </si>
  <si>
    <t>Comoros</t>
  </si>
  <si>
    <t>Komoren</t>
  </si>
  <si>
    <t>CO</t>
  </si>
  <si>
    <t>Colombia</t>
  </si>
  <si>
    <t>Kolumbien</t>
  </si>
  <si>
    <t>KI</t>
  </si>
  <si>
    <t>Kiribati</t>
  </si>
  <si>
    <t>KG</t>
  </si>
  <si>
    <t>Kyrgyzstan</t>
  </si>
  <si>
    <t>Kirgisistan</t>
  </si>
  <si>
    <t>KE</t>
  </si>
  <si>
    <t>Kenya</t>
  </si>
  <si>
    <t>Kenia</t>
  </si>
  <si>
    <t>QA</t>
  </si>
  <si>
    <t>Qatar</t>
  </si>
  <si>
    <t>Katar</t>
  </si>
  <si>
    <t>KZ</t>
  </si>
  <si>
    <t>Kazakhstan</t>
  </si>
  <si>
    <t>Kasachstan</t>
  </si>
  <si>
    <t>CV</t>
  </si>
  <si>
    <t>Cape Verde</t>
  </si>
  <si>
    <t>Kap Verde</t>
  </si>
  <si>
    <t>CA</t>
  </si>
  <si>
    <t>Canada</t>
  </si>
  <si>
    <t>Kanada</t>
  </si>
  <si>
    <t>CM</t>
  </si>
  <si>
    <t>Cameroons</t>
  </si>
  <si>
    <t>Kamerun</t>
  </si>
  <si>
    <t>KH</t>
  </si>
  <si>
    <t>Cambodia</t>
  </si>
  <si>
    <t>Kambodscha</t>
  </si>
  <si>
    <t>KY</t>
  </si>
  <si>
    <t>Cayman Islands</t>
  </si>
  <si>
    <t>Kaimaninseln</t>
  </si>
  <si>
    <t>YU</t>
  </si>
  <si>
    <t>Yugoslavia</t>
  </si>
  <si>
    <t>Jugoslawien</t>
  </si>
  <si>
    <t>JO</t>
  </si>
  <si>
    <t>Jordan</t>
  </si>
  <si>
    <t>Jordanien</t>
  </si>
  <si>
    <t>YE</t>
  </si>
  <si>
    <t>Yemen</t>
  </si>
  <si>
    <t>Jemen</t>
  </si>
  <si>
    <t>JP</t>
  </si>
  <si>
    <t>Japan</t>
  </si>
  <si>
    <t>JM</t>
  </si>
  <si>
    <t>Jamaica</t>
  </si>
  <si>
    <t>Jamaika</t>
  </si>
  <si>
    <t>IT</t>
  </si>
  <si>
    <t>Italy</t>
  </si>
  <si>
    <t>Italien</t>
  </si>
  <si>
    <t>IL</t>
  </si>
  <si>
    <t>Israel</t>
  </si>
  <si>
    <t>IS</t>
  </si>
  <si>
    <t>Iceland</t>
  </si>
  <si>
    <t>Island</t>
  </si>
  <si>
    <t>IE</t>
  </si>
  <si>
    <t>Ireland</t>
  </si>
  <si>
    <t>Irland</t>
  </si>
  <si>
    <t>IR</t>
  </si>
  <si>
    <t>Iran</t>
  </si>
  <si>
    <t>IQ</t>
  </si>
  <si>
    <t>Iraq</t>
  </si>
  <si>
    <t>Irak</t>
  </si>
  <si>
    <t>ID</t>
  </si>
  <si>
    <t>Indonesia</t>
  </si>
  <si>
    <t>Indonesien</t>
  </si>
  <si>
    <t>IN</t>
  </si>
  <si>
    <t>India</t>
  </si>
  <si>
    <t>Indien</t>
  </si>
  <si>
    <t>HK</t>
  </si>
  <si>
    <t>Hong Kong</t>
  </si>
  <si>
    <t>Hongkong</t>
  </si>
  <si>
    <t>HN</t>
  </si>
  <si>
    <t>Honduras</t>
  </si>
  <si>
    <t>HT</t>
  </si>
  <si>
    <t>Haiti</t>
  </si>
  <si>
    <t>GY</t>
  </si>
  <si>
    <t>Guyana</t>
  </si>
  <si>
    <t>GW</t>
  </si>
  <si>
    <t>Guinea-Bissau</t>
  </si>
  <si>
    <t>GN</t>
  </si>
  <si>
    <t>Guinea</t>
  </si>
  <si>
    <t>GT</t>
  </si>
  <si>
    <t>Guatemala</t>
  </si>
  <si>
    <t>GU</t>
  </si>
  <si>
    <t>Guam</t>
  </si>
  <si>
    <t>GB</t>
  </si>
  <si>
    <t>Great Britain</t>
  </si>
  <si>
    <t>Großbritannien</t>
  </si>
  <si>
    <t>GL</t>
  </si>
  <si>
    <t>Greenland</t>
  </si>
  <si>
    <t>Grönland</t>
  </si>
  <si>
    <t>GR</t>
  </si>
  <si>
    <t>Greece</t>
  </si>
  <si>
    <t>Griechenland</t>
  </si>
  <si>
    <t>GD</t>
  </si>
  <si>
    <t>Grenada</t>
  </si>
  <si>
    <t>GI</t>
  </si>
  <si>
    <t>Gibraltar</t>
  </si>
  <si>
    <t>GH</t>
  </si>
  <si>
    <t>Ghana</t>
  </si>
  <si>
    <t>GE</t>
  </si>
  <si>
    <t>Georgia</t>
  </si>
  <si>
    <t>Georgien</t>
  </si>
  <si>
    <t>GM</t>
  </si>
  <si>
    <t>Gambia</t>
  </si>
  <si>
    <t>GA</t>
  </si>
  <si>
    <t>Gabon</t>
  </si>
  <si>
    <t>Gabun</t>
  </si>
  <si>
    <t>PF</t>
  </si>
  <si>
    <t>French Polynesia</t>
  </si>
  <si>
    <t>Französisch-Polynesien</t>
  </si>
  <si>
    <t>FR</t>
  </si>
  <si>
    <t>France</t>
  </si>
  <si>
    <t>Frankreich</t>
  </si>
  <si>
    <t>FM</t>
  </si>
  <si>
    <t>Federated States of Micronesia</t>
  </si>
  <si>
    <t>Föderierte Staaten von Mikronesien</t>
  </si>
  <si>
    <t>FI</t>
  </si>
  <si>
    <t>Finland</t>
  </si>
  <si>
    <t>Finnland</t>
  </si>
  <si>
    <t>FJ</t>
  </si>
  <si>
    <t>Fiji</t>
  </si>
  <si>
    <t>Fidschi</t>
  </si>
  <si>
    <t>FO</t>
  </si>
  <si>
    <t>Faroe Islands</t>
  </si>
  <si>
    <t>Färöer</t>
  </si>
  <si>
    <t>FK</t>
  </si>
  <si>
    <t>Falkland Islands</t>
  </si>
  <si>
    <t>Falklandinseln</t>
  </si>
  <si>
    <t>EE</t>
  </si>
  <si>
    <t>Estonia</t>
  </si>
  <si>
    <t>Estland</t>
  </si>
  <si>
    <t>ER</t>
  </si>
  <si>
    <t>Eritrea</t>
  </si>
  <si>
    <t>SV</t>
  </si>
  <si>
    <t>El Salvador</t>
  </si>
  <si>
    <t>EC</t>
  </si>
  <si>
    <t>Ecuador</t>
  </si>
  <si>
    <t>DJ</t>
  </si>
  <si>
    <t>Djibouti</t>
  </si>
  <si>
    <t>Dschibuti</t>
  </si>
  <si>
    <t>DO</t>
  </si>
  <si>
    <t>Dominican Republic</t>
  </si>
  <si>
    <t>Dominikanische Republik</t>
  </si>
  <si>
    <t>DM</t>
  </si>
  <si>
    <t>Dominica</t>
  </si>
  <si>
    <t>DE</t>
  </si>
  <si>
    <t>Germany</t>
  </si>
  <si>
    <t>Deutschland</t>
  </si>
  <si>
    <t>CD</t>
  </si>
  <si>
    <t>Democratic Republic of Congo</t>
  </si>
  <si>
    <t>Demokratische Republik Kongo</t>
  </si>
  <si>
    <t>DK</t>
  </si>
  <si>
    <t>Denmark</t>
  </si>
  <si>
    <t>Dänemark</t>
  </si>
  <si>
    <t>CI</t>
  </si>
  <si>
    <t>Côte d´Ivoire</t>
  </si>
  <si>
    <t>CR</t>
  </si>
  <si>
    <t>Costa Rica</t>
  </si>
  <si>
    <t>CN</t>
  </si>
  <si>
    <t>China</t>
  </si>
  <si>
    <t>CL</t>
  </si>
  <si>
    <t>Chile</t>
  </si>
  <si>
    <t>XC</t>
  </si>
  <si>
    <t>Ceuta</t>
  </si>
  <si>
    <t>BI</t>
  </si>
  <si>
    <t>Burundi</t>
  </si>
  <si>
    <t>BF</t>
  </si>
  <si>
    <t>Burkina Faso</t>
  </si>
  <si>
    <t>BG</t>
  </si>
  <si>
    <t>Bulgaria</t>
  </si>
  <si>
    <t>Bulgarien</t>
  </si>
  <si>
    <t>BN</t>
  </si>
  <si>
    <t>Brunei</t>
  </si>
  <si>
    <t>IO</t>
  </si>
  <si>
    <t>British Indian Ocean Territory</t>
  </si>
  <si>
    <t>Britisches Gebiet im Indischen Ozean</t>
  </si>
  <si>
    <t>VG</t>
  </si>
  <si>
    <t>British Virgin Islands</t>
  </si>
  <si>
    <t>Britische Jungferninseln</t>
  </si>
  <si>
    <t>BR</t>
  </si>
  <si>
    <t>Brazil</t>
  </si>
  <si>
    <t>Brasilien</t>
  </si>
  <si>
    <t>BW</t>
  </si>
  <si>
    <t>Botswana</t>
  </si>
  <si>
    <t>Botsuana</t>
  </si>
  <si>
    <t>BA</t>
  </si>
  <si>
    <t>Bosnia and Herzegovina</t>
  </si>
  <si>
    <t>Bosnien und Herzegowina</t>
  </si>
  <si>
    <t>BO</t>
  </si>
  <si>
    <t>Bolivia</t>
  </si>
  <si>
    <t>Bolivien</t>
  </si>
  <si>
    <t>BT</t>
  </si>
  <si>
    <t>Bhutan</t>
  </si>
  <si>
    <t>BM</t>
  </si>
  <si>
    <t>Bermuda</t>
  </si>
  <si>
    <t>BJ</t>
  </si>
  <si>
    <t>Benin</t>
  </si>
  <si>
    <t>BZ</t>
  </si>
  <si>
    <t>Belize</t>
  </si>
  <si>
    <t>BE</t>
  </si>
  <si>
    <t>Belgium</t>
  </si>
  <si>
    <t>Belgien</t>
  </si>
  <si>
    <t>BB</t>
  </si>
  <si>
    <t>Barbados</t>
  </si>
  <si>
    <t>BD</t>
  </si>
  <si>
    <t>Bangladesh</t>
  </si>
  <si>
    <t>Bangladesch</t>
  </si>
  <si>
    <t>BH</t>
  </si>
  <si>
    <t>Bahrain</t>
  </si>
  <si>
    <t>BS</t>
  </si>
  <si>
    <t>Bahamas</t>
  </si>
  <si>
    <t>XO</t>
  </si>
  <si>
    <t>Australian Oceania</t>
  </si>
  <si>
    <t>Australisch-Ozeanien</t>
  </si>
  <si>
    <t>AU</t>
  </si>
  <si>
    <t>Australia</t>
  </si>
  <si>
    <t>Australien</t>
  </si>
  <si>
    <t>ET</t>
  </si>
  <si>
    <t>Ethiopia</t>
  </si>
  <si>
    <t>Äthiopien</t>
  </si>
  <si>
    <t>AZ</t>
  </si>
  <si>
    <t>Azerbaijan</t>
  </si>
  <si>
    <t>Aserbaidschan</t>
  </si>
  <si>
    <t>AW</t>
  </si>
  <si>
    <t>Aruba</t>
  </si>
  <si>
    <t>AM</t>
  </si>
  <si>
    <t>Armenia</t>
  </si>
  <si>
    <t>Armenien</t>
  </si>
  <si>
    <t>AR</t>
  </si>
  <si>
    <t>Argentina</t>
  </si>
  <si>
    <t>Argentinien</t>
  </si>
  <si>
    <t>GQ</t>
  </si>
  <si>
    <t>Equatorial Guinea</t>
  </si>
  <si>
    <t>Äquatorialguinea</t>
  </si>
  <si>
    <t>AG</t>
  </si>
  <si>
    <t>Antigua and Barbuda</t>
  </si>
  <si>
    <t>Antigua und Barbuda</t>
  </si>
  <si>
    <t>AI</t>
  </si>
  <si>
    <t>Anguilla</t>
  </si>
  <si>
    <t>AO</t>
  </si>
  <si>
    <t>Angola</t>
  </si>
  <si>
    <t>AD</t>
  </si>
  <si>
    <t>Andorra</t>
  </si>
  <si>
    <t>XA</t>
  </si>
  <si>
    <t>American Pacific</t>
  </si>
  <si>
    <t>Amerikanisch-Ozeanien</t>
  </si>
  <si>
    <t>VI</t>
  </si>
  <si>
    <t>US Virgin Islands</t>
  </si>
  <si>
    <t>Amerikanische Jungferninseln</t>
  </si>
  <si>
    <t>DZ</t>
  </si>
  <si>
    <t>Algeria</t>
  </si>
  <si>
    <t>Algerien</t>
  </si>
  <si>
    <t>AL</t>
  </si>
  <si>
    <t>Albania</t>
  </si>
  <si>
    <t>Albanien</t>
  </si>
  <si>
    <t>EG</t>
  </si>
  <si>
    <t>Egypt</t>
  </si>
  <si>
    <t>Ägypten</t>
  </si>
  <si>
    <t>AF</t>
  </si>
  <si>
    <t>Afghanistan</t>
  </si>
  <si>
    <t>lkz</t>
  </si>
  <si>
    <t>land_en</t>
  </si>
  <si>
    <t>land_de</t>
  </si>
  <si>
    <t>OFTP2 (CAx-Datenaustausch über Internet)</t>
  </si>
  <si>
    <t>EDI- bzw. kommerzieller Datenaustausch</t>
  </si>
  <si>
    <t>Strasse</t>
  </si>
  <si>
    <t>connect?</t>
  </si>
  <si>
    <t>felder korrekt befüllt?</t>
  </si>
  <si>
    <t xml:space="preserve">Rechnungsanschrift </t>
  </si>
  <si>
    <r>
      <t xml:space="preserve">Weicht der Standort der </t>
    </r>
    <r>
      <rPr>
        <b/>
        <sz val="9"/>
        <color theme="1"/>
        <rFont val="Tahoma"/>
        <family val="2"/>
      </rPr>
      <t>technischen Anbindung</t>
    </r>
    <r>
      <rPr>
        <sz val="9"/>
        <color theme="1"/>
        <rFont val="Tahoma"/>
        <family val="2"/>
      </rPr>
      <t xml:space="preserve"> vom Vertragsstandort ab?</t>
    </r>
  </si>
  <si>
    <r>
      <t xml:space="preserve">Weicht der Standort des </t>
    </r>
    <r>
      <rPr>
        <b/>
        <sz val="9"/>
        <color theme="1"/>
        <rFont val="Tahoma"/>
        <family val="2"/>
      </rPr>
      <t xml:space="preserve">Daten-austauschs </t>
    </r>
    <r>
      <rPr>
        <sz val="9"/>
        <color theme="1"/>
        <rFont val="Tahoma"/>
        <family val="2"/>
      </rPr>
      <t>vom Vertragsstandort ab?</t>
    </r>
  </si>
  <si>
    <t>Hinweis: Bei fehlenden Angaben werden die Adressdaten des Vertragsstandortes verwendet</t>
  </si>
  <si>
    <t>Bei fehlender Angabe werden die Daten des vertraglichen Ansprechpartners für diese Rolle übernommen</t>
  </si>
  <si>
    <r>
      <t xml:space="preserve">Partnerfirma: </t>
    </r>
    <r>
      <rPr>
        <sz val="11"/>
        <color theme="0"/>
        <rFont val="Tahoma"/>
        <family val="2"/>
      </rPr>
      <t xml:space="preserve">zusätzliche Ansprechpartner für Informationen 
im laufenden Betrieb der Netzanbindung und Applikationen
</t>
    </r>
    <r>
      <rPr>
        <u/>
        <sz val="10"/>
        <color theme="0"/>
        <rFont val="Tahoma"/>
        <family val="2"/>
      </rPr>
      <t>Besondere Merkmale</t>
    </r>
    <r>
      <rPr>
        <sz val="10"/>
        <color theme="0"/>
        <rFont val="Tahoma"/>
        <family val="2"/>
      </rPr>
      <t xml:space="preserve">
schnelle Informationsannahme und gezielte Weiterleitung an Anwender, KeyUser,  Techniker oder Management</t>
    </r>
  </si>
  <si>
    <r>
      <rPr>
        <b/>
        <sz val="14"/>
        <color theme="1"/>
        <rFont val="Tahoma"/>
        <family val="2"/>
      </rPr>
      <t>2</t>
    </r>
    <r>
      <rPr>
        <sz val="8"/>
        <color theme="1"/>
        <rFont val="Tahoma"/>
        <family val="2"/>
      </rPr>
      <t xml:space="preserve"> </t>
    </r>
    <r>
      <rPr>
        <b/>
        <sz val="9"/>
        <color theme="1"/>
        <rFont val="Tahoma"/>
        <family val="2"/>
      </rPr>
      <t xml:space="preserve">Erfassung der Firmen- und Standort-Daten Ihres Unternehmens zur Vertragsvorbereitung. </t>
    </r>
    <r>
      <rPr>
        <sz val="9"/>
        <color theme="1"/>
        <rFont val="Tahoma"/>
        <family val="2"/>
      </rPr>
      <t xml:space="preserve">
Die Daten werden in den weiteren Schritten der vertraglichen und technischen Realisierung 
übernommen und auf weiteren Dokumenten vorgetragen.</t>
    </r>
  </si>
  <si>
    <r>
      <rPr>
        <b/>
        <sz val="14"/>
        <color theme="1"/>
        <rFont val="Tahoma"/>
        <family val="2"/>
      </rPr>
      <t>3</t>
    </r>
    <r>
      <rPr>
        <sz val="9"/>
        <color theme="1"/>
        <rFont val="Tahoma"/>
        <family val="2"/>
      </rPr>
      <t xml:space="preserve"> </t>
    </r>
    <r>
      <rPr>
        <b/>
        <sz val="9"/>
        <color theme="1"/>
        <rFont val="Tahoma"/>
        <family val="2"/>
      </rPr>
      <t xml:space="preserve">Erfassung der Kontaktdaten wichtiger Ansprechpartner Ihres Unternehmens. </t>
    </r>
    <r>
      <rPr>
        <sz val="9"/>
        <color theme="1"/>
        <rFont val="Tahoma"/>
        <family val="2"/>
      </rPr>
      <t xml:space="preserve">
Die Ansprechpartner sind wichtige Kontakte in der vertraglichen und technischen Vorbereitung. Darüber hinaus stellen sie aber auch wichtige Schnittstellen für die Kommunikation zwischen Ihrem Unternehmen und dem VW-Konzern nach Inbetriebnahme der Anbindung dar. Mindestens zu benennen ist der vertragliche Ansprechpartner. Werden keine weiteren benannt, werden alle Abstimmungen, unabhängig vom inhaltlichen Schwerpunkt, an diesen gerichtet.</t>
    </r>
  </si>
  <si>
    <r>
      <rPr>
        <b/>
        <sz val="14"/>
        <color theme="1"/>
        <rFont val="Tahoma"/>
        <family val="2"/>
      </rPr>
      <t>5</t>
    </r>
    <r>
      <rPr>
        <sz val="9"/>
        <color theme="1"/>
        <rFont val="Tahoma"/>
        <family val="2"/>
      </rPr>
      <t xml:space="preserve"> </t>
    </r>
    <r>
      <rPr>
        <b/>
        <sz val="9"/>
        <color theme="1"/>
        <rFont val="Tahoma"/>
        <family val="2"/>
      </rPr>
      <t>Erfassung der beauftragenden Fachbereiche des VW-Konzerns</t>
    </r>
    <r>
      <rPr>
        <sz val="9"/>
        <color theme="1"/>
        <rFont val="Tahoma"/>
        <family val="2"/>
      </rPr>
      <t xml:space="preserve">
Für die Bereitstellung der Netzanbindung und Applikationszugriffe ist die Zustimmung des 
beauftragenden Fachbereichs des VW Konzerns erforderlich. Zur Kontaktaufnahme mit der zuständigen Fachabteilung sind die 
Kontaktdaten je eines Ansprechpartners pro beauftragender Marke zu benennen.
In Abhängigkeit Ihrer Markenauswahl auf dem Tabellenblatt Konzern-Applikationen sind die notwendigen Felder
zur Befüllung farblich gekennzeichnet. Wenn die Marken nicht korrekt oder unvollständig sind, bitte im vorherigen Tabellenblatt Korrekturen ausführen.</t>
    </r>
  </si>
  <si>
    <t>csn.service@o-s.de</t>
  </si>
  <si>
    <t>Lieferantennummer (+ Marke)</t>
  </si>
  <si>
    <t>Marken</t>
  </si>
  <si>
    <t>SEAT</t>
  </si>
  <si>
    <t>Skoda</t>
  </si>
  <si>
    <t>Bentley</t>
  </si>
  <si>
    <t>Bugatti</t>
  </si>
  <si>
    <t>Lamborghini</t>
  </si>
  <si>
    <t>Porsche</t>
  </si>
  <si>
    <t>EU Länder</t>
  </si>
  <si>
    <t>Marke</t>
  </si>
  <si>
    <t>prüfung ob bereits daten für marke 2 eingetragen sind</t>
  </si>
  <si>
    <t>prüfung 1 / 2 marken</t>
  </si>
  <si>
    <r>
      <t>Dieser Kontakt muss dem Partnerfirmennetzzugang zustimmen.</t>
    </r>
    <r>
      <rPr>
        <b/>
        <sz val="9"/>
        <color rgb="FFFF0000"/>
        <rFont val="Tahoma"/>
        <family val="2"/>
      </rPr>
      <t/>
    </r>
  </si>
  <si>
    <t>Prüfsumme für Bewertung ob KVS Audi</t>
  </si>
  <si>
    <t>Prüfsumme für Bewertung ob Connect Audi</t>
  </si>
  <si>
    <t>Prüfung OK der Seite und Aufforderung zum nächsten Schritt</t>
  </si>
  <si>
    <t>ZMB</t>
  </si>
  <si>
    <t>SCF</t>
  </si>
  <si>
    <t>Prüfsumme für Audi als Marke</t>
  </si>
  <si>
    <r>
      <t>Abteilung/OE/Kostenstelle</t>
    </r>
    <r>
      <rPr>
        <sz val="8"/>
        <color rgb="FFFF0000"/>
        <rFont val="Tahoma"/>
        <family val="2"/>
      </rPr>
      <t/>
    </r>
  </si>
  <si>
    <t>prüfung ob marke 2 belegt ist ohne marke 1</t>
  </si>
  <si>
    <t>prüfen ob für marke 1 daten eingetragen sind</t>
  </si>
  <si>
    <t>prüfen ob für marke 2 daten eingetragen sind ohne marke</t>
  </si>
  <si>
    <t>Citrix</t>
  </si>
  <si>
    <t>WTS</t>
  </si>
  <si>
    <t>Volkswagen ePortal</t>
  </si>
  <si>
    <t>Audi Mynet</t>
  </si>
  <si>
    <t>Marke 1</t>
  </si>
  <si>
    <t>CSN VW</t>
  </si>
  <si>
    <t>CSN Audi</t>
  </si>
  <si>
    <t>SimplX VW</t>
  </si>
  <si>
    <t>SimplX Audi</t>
  </si>
  <si>
    <t>notwendige Verträge</t>
  </si>
  <si>
    <t>Marke 2</t>
  </si>
  <si>
    <t>Vertragsempfehlung</t>
  </si>
  <si>
    <t>Mobiltelefon</t>
  </si>
  <si>
    <t>Syncrofit</t>
  </si>
  <si>
    <t>in I Prüfung ob STOPP</t>
  </si>
  <si>
    <t>Ermittlung PDM Vertragstyp</t>
  </si>
  <si>
    <t>Zusammenfassung Premium (1=ja, 0=nein)</t>
  </si>
  <si>
    <t>Prüfung auf standard Plus 
(1=standard Plus;0=Premium;2=standard;5=kein PDM Vertrag)</t>
  </si>
  <si>
    <t>Prüfung Connect enthalten ist in mind. 1 Marke</t>
  </si>
  <si>
    <t>Prüfung ZMB enthalten ist in mind. 1 Marke</t>
  </si>
  <si>
    <t>Prüfung Syncrofit enthalten ist in mind. 1 Marke</t>
  </si>
  <si>
    <t>Prüfung KVS enthalten ist in mind. 1 Marke</t>
  </si>
  <si>
    <t>Audi ausgewählt als 1.Marke? (1=ja, 0=nein)</t>
  </si>
  <si>
    <t>Audi ausgewählt als 2. Marke? (1=ja, 0=nein)</t>
  </si>
  <si>
    <t>Inhalt des Freitextfeldes für weitere Marken und Applikationen</t>
  </si>
  <si>
    <t>Prüfung ob Audi Connect für Marke 1 (1=ja, 0=nein)</t>
  </si>
  <si>
    <t>Prüfung ob Audi Connect für Marke 2 (1=ja, 0=nein)</t>
  </si>
  <si>
    <t>Prüfung ob Audi KVS für Marke 1 (1=ja, 0=nein)</t>
  </si>
  <si>
    <t>Prüfung ob Audi KVS für Marke 2 (1=ja, 0=nein)</t>
  </si>
  <si>
    <t>Prüfsumme für Audi Mynet</t>
  </si>
  <si>
    <t>Prüfsumme Audi Mynet</t>
  </si>
  <si>
    <t>Prüfung ob Mynet gesetzt ist bei KVS für Marke 1 (1=ja, 2=nein)</t>
  </si>
  <si>
    <t>Prüfung ob Mynet gesetzt ist bei KVS für Marke 2 (1=ja, 2=nein)</t>
  </si>
  <si>
    <t>Prüfung ob Mynet gesetzt ist bei Connect für Marke 1 (1=ja, 2=nein)</t>
  </si>
  <si>
    <t>Prüfung ob Mynet gesetzt ist bei Connect für Marke 2 (1=ja, 2=nein)</t>
  </si>
  <si>
    <t>Prüfung CSN VW</t>
  </si>
  <si>
    <t>Prüfung CSN Audi</t>
  </si>
  <si>
    <t>Übereinstimmungen Marke 2 mit Marke 1</t>
  </si>
  <si>
    <t>kein Vertrag</t>
  </si>
  <si>
    <t>Ermittlung Zweitvertrag</t>
  </si>
  <si>
    <t>Summe</t>
  </si>
  <si>
    <t>Marke2</t>
  </si>
  <si>
    <t>1. Konzern-Marke</t>
  </si>
  <si>
    <t>2. Konzern-Marke</t>
  </si>
  <si>
    <t>Prüfsummen</t>
  </si>
  <si>
    <t>felder vollständig befüllt?</t>
  </si>
  <si>
    <t>Prüfung Marke 2 vollständig (1=voll, 0=n.i.o,10=nicht belegt/Fehler)</t>
  </si>
  <si>
    <t>Prüfung Marke 1 vollständig (1=voll, 0=n.i.o,10=nicht belegt/Fehler)</t>
  </si>
  <si>
    <t>WENN($C$41=300;WENN($A$40=0;WENN($B$40&gt;0;WENN($B$40&lt;10;"Steckbrief vollständig-Zusammenfassung prüfen, speichern und an csn.service@o-s.de senden";"");"");"");"")</t>
  </si>
  <si>
    <t>Datenübernahme AP Applikationen</t>
  </si>
  <si>
    <t>Prüfung Email Adresse</t>
  </si>
  <si>
    <t>Maximallänge Gesamt</t>
  </si>
  <si>
    <t>Minimallänge Gesamt</t>
  </si>
  <si>
    <t>@ Zeichen enthalten</t>
  </si>
  <si>
    <t>@ Zeichen nicht an erster oder letzter Stelle</t>
  </si>
  <si>
    <t>kein Punkt an erster oder letzter Stelle</t>
  </si>
  <si>
    <t>Punkt im Domainteil</t>
  </si>
  <si>
    <t>Minimalllänge Lokalteil</t>
  </si>
  <si>
    <t>Maximallänge Lokalteil</t>
  </si>
  <si>
    <t>Minimallänge Domainteil</t>
  </si>
  <si>
    <t>nur gültige Zeichen in Adresse</t>
  </si>
  <si>
    <t>Gültigkeit der Adresse</t>
  </si>
  <si>
    <t>gültige Zeichen</t>
  </si>
  <si>
    <t>ABCDEFGHIJKLMNOPQRSTUVWXYZabcdefghijklmnopqrstuvwxyz0123456789.!#$%&amp;#*+-/=?^_`{|}~@</t>
  </si>
  <si>
    <t>WENN(SUMMENPRODUKT(H3:H12*1)=10;"gültig";"ungültig")</t>
  </si>
  <si>
    <t>LÄNGE(Zelle)&gt;=6</t>
  </si>
  <si>
    <t>LÄNGE(Zelle)&lt;=254</t>
  </si>
  <si>
    <t>ISTZAHL(FINDEN("@";Zelle))</t>
  </si>
  <si>
    <t>UND(LINKS(Zelle;1)&lt;&gt;".";RECHTS(Zelle;1)&lt;&gt;".")</t>
  </si>
  <si>
    <t>ISTZAHL(FINDEN(".";Zelle;FINDEN("@";Zelle)+2))</t>
  </si>
  <si>
    <t>UND(FINDEN("@";Zelle)&gt;1)</t>
  </si>
  <si>
    <t>UND(FINDEN("@";Zelle)&lt;65)</t>
  </si>
  <si>
    <t>LÄNGE(Zelle)-FINDEN(ZEICHEN(8);WECHSELN(Zelle;".";ZEICHEN(8);LÄNGE(Zelle)-LÄNGE(WECHSELN(Zelle;".";""))))&gt;=2</t>
  </si>
  <si>
    <t>WENN(ISTZAHL(SUMMENPRODUKT(FINDEN(TEIL(Zelle;ZEILE(1:254);1);G15;1)));WAHR;FALSCH)</t>
  </si>
  <si>
    <t>UND(LINKS(Zelle;1)&lt;&gt;"@";RECHTS(Zelle;1)&lt;&gt;"@")</t>
  </si>
  <si>
    <t>"Prüfbasis: https: // www.tabellenexperte.de/e-mail-adressen-mit-excel-pruefen/"</t>
  </si>
  <si>
    <t>Vertrag</t>
  </si>
  <si>
    <t>Technik</t>
  </si>
  <si>
    <t>Rechnung</t>
  </si>
  <si>
    <t>Mailing</t>
  </si>
  <si>
    <t>AP Technik Prüfung Email (100=fehler; 0=keine Beanstandung)</t>
  </si>
  <si>
    <t>AP Rechnung Prüfung Email (100=fehler; 0=keine Beanstandung)</t>
  </si>
  <si>
    <t>AP Mailing Prüfung Email (100=fehler; 1=keine Beanstandung)</t>
  </si>
  <si>
    <t>Prüfung ob AP Technik belegt</t>
  </si>
  <si>
    <t>Prüfung ob AP Rechnung belegt</t>
  </si>
  <si>
    <t>Prüfung: connect belegt</t>
  </si>
  <si>
    <t>belegte Zellen Teil2</t>
  </si>
  <si>
    <t>belegte Zellen Teil1</t>
  </si>
  <si>
    <t>Steckbrief speichern + der Antwortmail beifügen</t>
  </si>
  <si>
    <t>Mehrfachauswahl JIT Standorte</t>
  </si>
  <si>
    <t>Györ</t>
  </si>
  <si>
    <t>ING</t>
  </si>
  <si>
    <t>NSU</t>
  </si>
  <si>
    <t>Prüfung ob JIT Audi und Daten befüllt / Marke 1</t>
  </si>
  <si>
    <t>Prüfung ob JIT Audi und Daten befüllt / Marke 2</t>
  </si>
  <si>
    <t>wenn nicht Audi -&gt; 100 , wenn nicht JIT -&gt;101; wenn nicht befüllt 10</t>
  </si>
  <si>
    <t>zusammenfassung</t>
  </si>
  <si>
    <t>?</t>
  </si>
  <si>
    <t>PFN = partner company network</t>
  </si>
  <si>
    <t>CSN = CAx supplier network</t>
  </si>
  <si>
    <t xml:space="preserve"> list of abbreviations</t>
  </si>
  <si>
    <t xml:space="preserve">Our Service Support Center will answer your questions regarding this document and the selection of applications. </t>
  </si>
  <si>
    <t xml:space="preserve">Phone: </t>
  </si>
  <si>
    <t xml:space="preserve">Email:    </t>
  </si>
  <si>
    <t>+49-375-60619-904</t>
  </si>
  <si>
    <t>OS = short name of operational services GmbH &amp; Co. KG</t>
  </si>
  <si>
    <t>Contract data of partner company</t>
  </si>
  <si>
    <t>company name</t>
  </si>
  <si>
    <t>street</t>
  </si>
  <si>
    <t>postcode</t>
  </si>
  <si>
    <t>city</t>
  </si>
  <si>
    <t>country</t>
  </si>
  <si>
    <t>DUNS number</t>
  </si>
  <si>
    <t>supplier number (+ brand)</t>
  </si>
  <si>
    <t>value added tax number</t>
  </si>
  <si>
    <r>
      <t>Does the</t>
    </r>
    <r>
      <rPr>
        <b/>
        <sz val="10"/>
        <color theme="1"/>
        <rFont val="Tahoma"/>
        <family val="2"/>
      </rPr>
      <t xml:space="preserve"> location of technical connection</t>
    </r>
    <r>
      <rPr>
        <sz val="10"/>
        <color theme="1"/>
        <rFont val="Tahoma"/>
        <family val="2"/>
      </rPr>
      <t xml:space="preserve"> differs from the contract address?</t>
    </r>
  </si>
  <si>
    <t>If you leave the data fields empty  data from contract fields are used for invoice address.</t>
  </si>
  <si>
    <t>yes</t>
  </si>
  <si>
    <t>no</t>
  </si>
  <si>
    <r>
      <rPr>
        <b/>
        <sz val="14"/>
        <color theme="1"/>
        <rFont val="Tahoma"/>
        <family val="2"/>
      </rPr>
      <t>3</t>
    </r>
    <r>
      <rPr>
        <sz val="9"/>
        <color theme="1"/>
        <rFont val="Tahoma"/>
        <family val="2"/>
      </rPr>
      <t xml:space="preserve"> </t>
    </r>
    <r>
      <rPr>
        <b/>
        <sz val="10"/>
        <color theme="1"/>
        <rFont val="Tahoma"/>
        <family val="2"/>
      </rPr>
      <t>Registration of contact persons of partner company</t>
    </r>
    <r>
      <rPr>
        <sz val="10"/>
        <color theme="1"/>
        <rFont val="Tahoma"/>
        <family val="2"/>
      </rPr>
      <t xml:space="preserve">
Contact persons are important for preparation of contract and technical matter. Furthermore they are major interfaces for the communication between 
your company and operational services for implementation of network access and also after start-up of connection and application access.
At least the contact for contract has to be nominated. The whole implementation procedure wil be simplified if more contacts are known, 
especially the technical contact enables an professional and quick processing. For more information about the roles click on the headlines.</t>
    </r>
    <r>
      <rPr>
        <sz val="9"/>
        <color theme="1"/>
        <rFont val="Tahoma"/>
        <family val="2"/>
      </rPr>
      <t xml:space="preserve">
</t>
    </r>
  </si>
  <si>
    <r>
      <t xml:space="preserve">Partner company: </t>
    </r>
    <r>
      <rPr>
        <sz val="11"/>
        <color theme="0"/>
        <rFont val="Tahoma"/>
        <family val="2"/>
      </rPr>
      <t>contact for contract</t>
    </r>
  </si>
  <si>
    <t>surname</t>
  </si>
  <si>
    <t>first name</t>
  </si>
  <si>
    <t>phone</t>
  </si>
  <si>
    <t>e-mail</t>
  </si>
  <si>
    <r>
      <t xml:space="preserve">Partner company: </t>
    </r>
    <r>
      <rPr>
        <sz val="11"/>
        <color theme="0"/>
        <rFont val="Tahoma"/>
        <family val="2"/>
      </rPr>
      <t>technical contact</t>
    </r>
  </si>
  <si>
    <r>
      <t xml:space="preserve">Partner company: </t>
    </r>
    <r>
      <rPr>
        <sz val="11"/>
        <color theme="0"/>
        <rFont val="Tahoma"/>
        <family val="2"/>
      </rPr>
      <t>contact for invoice</t>
    </r>
  </si>
  <si>
    <r>
      <rPr>
        <b/>
        <sz val="11"/>
        <color theme="0"/>
        <rFont val="Tahoma"/>
        <family val="2"/>
      </rPr>
      <t>Partner company</t>
    </r>
    <r>
      <rPr>
        <b/>
        <sz val="10"/>
        <color theme="0"/>
        <rFont val="Tahoma"/>
        <family val="2"/>
      </rPr>
      <t xml:space="preserve">: </t>
    </r>
    <r>
      <rPr>
        <sz val="10"/>
        <color theme="0"/>
        <rFont val="Tahoma"/>
        <family val="2"/>
      </rPr>
      <t xml:space="preserve">additional contact*
</t>
    </r>
    <r>
      <rPr>
        <u/>
        <sz val="10"/>
        <color theme="0"/>
        <rFont val="Tahoma"/>
        <family val="2"/>
      </rPr>
      <t xml:space="preserve">
special characteristics of the contact</t>
    </r>
    <r>
      <rPr>
        <sz val="10"/>
        <color theme="0"/>
        <rFont val="Tahoma"/>
        <family val="2"/>
      </rPr>
      <t xml:space="preserve">
easy accessibility, quick information acceptance  and distribution to users and key users, technicians and management</t>
    </r>
  </si>
  <si>
    <r>
      <t xml:space="preserve">
</t>
    </r>
    <r>
      <rPr>
        <sz val="10"/>
        <rFont val="Tahoma"/>
        <family val="2"/>
      </rPr>
      <t xml:space="preserve">
</t>
    </r>
  </si>
  <si>
    <t>* Initially only one additional contact can be named. Further contacts can be reported informally later by e-mail.</t>
  </si>
  <si>
    <t>If not specified, the data of 
"contact for contract" will be taken over</t>
  </si>
  <si>
    <t xml:space="preserve">
If not specified, the data of 
"contact for contract" will be taken over</t>
  </si>
  <si>
    <t>In order of which brand of VW Group you will use applications/services?</t>
  </si>
  <si>
    <t>brand 1</t>
  </si>
  <si>
    <t>another brand</t>
  </si>
  <si>
    <t>application/connection types</t>
  </si>
  <si>
    <t>OFTP2 (data exchange via Internet)</t>
  </si>
  <si>
    <t>(TE) DMZ device</t>
  </si>
  <si>
    <t>EDI- resp. Commercial data exchange</t>
  </si>
  <si>
    <t>further services or IP-addresses</t>
  </si>
  <si>
    <t>nomination of Service/IP</t>
  </si>
  <si>
    <t>In case of use of the selected applications for collaboration with more than 2 brands of the VW group please list further brands at the end of the table.</t>
  </si>
  <si>
    <t xml:space="preserve"> for 
brand 1       / 1 further brand</t>
  </si>
  <si>
    <t>title</t>
  </si>
  <si>
    <t>mobile phone</t>
  </si>
  <si>
    <t>List of requested locations of usage (available are: ING, NSU, Györ, Mexiko)</t>
  </si>
  <si>
    <t>Brand 1</t>
  </si>
  <si>
    <t>Contact person of the brand for the selected application</t>
  </si>
  <si>
    <t>Title</t>
  </si>
  <si>
    <t>Surname</t>
  </si>
  <si>
    <t>approving department of VW Group</t>
  </si>
  <si>
    <t>First name</t>
  </si>
  <si>
    <t>Selected applications</t>
  </si>
  <si>
    <t>Brand 2</t>
  </si>
  <si>
    <t>Project for collaboration CONNECT</t>
  </si>
  <si>
    <t>name of project for collaboration</t>
  </si>
  <si>
    <t>brand that authorises the partner company</t>
  </si>
  <si>
    <t>department that authorises the partner company</t>
  </si>
  <si>
    <t>Has the contract signed already?</t>
  </si>
  <si>
    <t>if so, date of signing of contract</t>
  </si>
  <si>
    <t>further collaborations at this location?</t>
  </si>
  <si>
    <t>if so, please name parallel projects for collaboration</t>
  </si>
  <si>
    <t>matter of project for collaboration</t>
  </si>
  <si>
    <t>automotive projects that refer to the collaboration</t>
  </si>
  <si>
    <t>frequency of this type of collaboration</t>
  </si>
  <si>
    <t>number of partner company employees, who will work with CONNECT</t>
  </si>
  <si>
    <t>frequency of access to volume of a design space</t>
  </si>
  <si>
    <t>delivery of intermediate and final results</t>
  </si>
  <si>
    <t>process of coordination with internal contact person</t>
  </si>
  <si>
    <t>optional: further advices</t>
  </si>
  <si>
    <t>Project details for collaboration CONNECT</t>
  </si>
  <si>
    <t>Prüfsummen für Freigabe der Felder</t>
  </si>
  <si>
    <t>fehlt Appl. C 1</t>
  </si>
  <si>
    <t>fehlt Appl. C 2</t>
  </si>
  <si>
    <t>0=fehlt, 1=da</t>
  </si>
  <si>
    <t>Daten C 1 fehlen</t>
  </si>
  <si>
    <t>Daten C 2 fehlen</t>
  </si>
  <si>
    <t>summe</t>
  </si>
  <si>
    <t>10=fehlt, 1=da</t>
  </si>
  <si>
    <t>Company and contract data of your company</t>
  </si>
  <si>
    <t>supplier number + brand</t>
  </si>
  <si>
    <t>Does the location of technical connection differs from the contract address?</t>
  </si>
  <si>
    <t>Does the location of data exchange differs from the contract address?</t>
  </si>
  <si>
    <t>invoice address</t>
  </si>
  <si>
    <t>location information for technical connection (in difference to contract)</t>
  </si>
  <si>
    <t>location information for data exchange (in difference to contact)</t>
  </si>
  <si>
    <t>Contact persons of  partner company</t>
  </si>
  <si>
    <t>partner company: contact for contract</t>
  </si>
  <si>
    <t>partner company: technical contact</t>
  </si>
  <si>
    <t>partner company: contact for invoice</t>
  </si>
  <si>
    <t>partner company: additional contact for information after set-up of network access</t>
  </si>
  <si>
    <t>Applications</t>
  </si>
  <si>
    <t>JIT Audi - list of locations of usage</t>
  </si>
  <si>
    <t>additional information</t>
  </si>
  <si>
    <t>applications additional in use for cooperation with following further brands</t>
  </si>
  <si>
    <t>application specialist</t>
  </si>
  <si>
    <t>contact persons of Volkswagen Group</t>
  </si>
  <si>
    <t>Additional data for application CONNECT</t>
  </si>
  <si>
    <t>project of cooperation using CONNECT</t>
  </si>
  <si>
    <t>name of project of collaboration</t>
  </si>
  <si>
    <t>brand of corporate group that authorises the partner company</t>
  </si>
  <si>
    <t>Was the contract already signed?</t>
  </si>
  <si>
    <t>details of project of cooperation using CONNECT</t>
  </si>
  <si>
    <t>Contract CSN network access</t>
  </si>
  <si>
    <t>brand-independent application contrac</t>
  </si>
  <si>
    <t>application contract with service level "PDM standard"</t>
  </si>
  <si>
    <t>application contract with service level "PDM standard PLUS"</t>
  </si>
  <si>
    <t>application contract with service level "PDM premium"</t>
  </si>
  <si>
    <t>Contract for provision of network access "partner network Volkswagen"</t>
  </si>
  <si>
    <t>Contract for provision of network access "partner network Audi"</t>
  </si>
  <si>
    <t>Return of CSN shortlist for using services of VW Group</t>
  </si>
  <si>
    <t>Hello</t>
  </si>
  <si>
    <t>Enclosed the filled CSN shortlist back for set-up of partner-company services of VW Group.</t>
  </si>
  <si>
    <t>Don´t hesitate to contact me for further information.</t>
  </si>
  <si>
    <t>Summary of the CSN shortlist</t>
  </si>
  <si>
    <t>Prüfsumme ob Audi JIT</t>
  </si>
  <si>
    <t>Prüfung Inhalt Zusatz JITAUDI</t>
  </si>
  <si>
    <t>Prüfung ob DMZ</t>
  </si>
  <si>
    <t>Prüfung ob DMZ belegt</t>
  </si>
  <si>
    <t>Pay attention to the information 
on seleceted applications</t>
  </si>
  <si>
    <t>Prüfung Marke = Audi/VW/Other</t>
  </si>
  <si>
    <t>Prüfung ob TMZ ausgewählt wurde und Audi (1=ja, Rest=0)</t>
  </si>
  <si>
    <t>OFTP2  (data exchange via Internet)</t>
  </si>
  <si>
    <t>Prüfung Marken VW+ Audi + Bugatti  OFTP2 / Marke1</t>
  </si>
  <si>
    <t>Prüfung Marken VW+ Audi + Bugatti  OFTP2 / Marke2</t>
  </si>
  <si>
    <t>Prüfung Marken VW+ Audi für SimplX  / Marke1</t>
  </si>
  <si>
    <t>Prüfung Marken VW+ Audi für SimplX  / Marke2</t>
  </si>
  <si>
    <t>Fachlich</t>
  </si>
  <si>
    <t>Mrs</t>
  </si>
  <si>
    <t>Konzernkontakt</t>
  </si>
  <si>
    <t>M1 KVS</t>
  </si>
  <si>
    <t>M1 Connect</t>
  </si>
  <si>
    <t>M1 DMS</t>
  </si>
  <si>
    <t>M1 ECA</t>
  </si>
  <si>
    <t>M1 ZMB</t>
  </si>
  <si>
    <t>M1 SCF</t>
  </si>
  <si>
    <t>M1 Syncro</t>
  </si>
  <si>
    <t>M1 OFTP2</t>
  </si>
  <si>
    <t>M1 simplX</t>
  </si>
  <si>
    <t>M1 DMZ</t>
  </si>
  <si>
    <t>M1 Mynet</t>
  </si>
  <si>
    <t>M1 EDI</t>
  </si>
  <si>
    <t>M1 QTS</t>
  </si>
  <si>
    <t>M1 Citrix</t>
  </si>
  <si>
    <t>M1 WTS</t>
  </si>
  <si>
    <t>M1 JIT</t>
  </si>
  <si>
    <t>M1 sonst</t>
  </si>
  <si>
    <t>M2 KVS</t>
  </si>
  <si>
    <t>M2 Connect</t>
  </si>
  <si>
    <t>M2 DMS</t>
  </si>
  <si>
    <t>M2 ECA</t>
  </si>
  <si>
    <t>M2 ZMB</t>
  </si>
  <si>
    <t>M2 SCF</t>
  </si>
  <si>
    <t>M2 Syncro</t>
  </si>
  <si>
    <t>M2 OFTP2</t>
  </si>
  <si>
    <t>M2 simplX</t>
  </si>
  <si>
    <t>M2 DMZ</t>
  </si>
  <si>
    <t>M2 Mynet</t>
  </si>
  <si>
    <t>M2 EDI</t>
  </si>
  <si>
    <t>M2 QTS</t>
  </si>
  <si>
    <t>M2 Citrix</t>
  </si>
  <si>
    <t>M2 WTS</t>
  </si>
  <si>
    <t>M2 JIT</t>
  </si>
  <si>
    <t>M2 sonst</t>
  </si>
  <si>
    <t>Prüfung email OK</t>
  </si>
  <si>
    <t>Save the shortlist and add the file to your e-mail</t>
  </si>
  <si>
    <t>Please fill in this checklist. Finally check all information in the summary and return the checklist to our Service Support Center.</t>
  </si>
  <si>
    <t>e-mail-address</t>
  </si>
  <si>
    <r>
      <rPr>
        <sz val="14"/>
        <color theme="1"/>
        <rFont val="Tahoma"/>
        <family val="2"/>
      </rPr>
      <t xml:space="preserve">5 </t>
    </r>
    <r>
      <rPr>
        <b/>
        <sz val="9"/>
        <color theme="1"/>
        <rFont val="Tahoma"/>
        <family val="2"/>
      </rPr>
      <t>Zusatzblatt Connect</t>
    </r>
    <r>
      <rPr>
        <b/>
        <sz val="14"/>
        <color theme="1"/>
        <rFont val="Tahoma"/>
        <family val="2"/>
      </rPr>
      <t xml:space="preserve">
</t>
    </r>
    <r>
      <rPr>
        <sz val="9"/>
        <color theme="1"/>
        <rFont val="Tahoma"/>
        <family val="2"/>
      </rPr>
      <t>For application CONNECT are more details required. These are information concerning cooperation with VW Group departments for provision of data 
and content as well as information about organisation of collaboration.</t>
    </r>
  </si>
  <si>
    <t>data protection information</t>
  </si>
  <si>
    <t xml:space="preserve">Please note our data protection information according to the 
EU General Data Protection Regulation (EU GDPR) on our hompage </t>
  </si>
  <si>
    <t>This shortlist is dedicated to companies that need a connection to VW group for selected applications and services as a partner company.
With help of this checklist important information regarding the desired connection will be collected in compact form. These information are necessary for the efficient process of the connection set-up and are used only appropriately.</t>
  </si>
  <si>
    <r>
      <t>Does the</t>
    </r>
    <r>
      <rPr>
        <b/>
        <sz val="10"/>
        <color theme="1"/>
        <rFont val="Tahoma"/>
        <family val="2"/>
      </rPr>
      <t xml:space="preserve"> location of data access</t>
    </r>
    <r>
      <rPr>
        <sz val="10"/>
        <color theme="1"/>
        <rFont val="Tahoma"/>
        <family val="2"/>
      </rPr>
      <t xml:space="preserve"> 
differs from the contract address?</t>
    </r>
  </si>
  <si>
    <t xml:space="preserve">Please note our data protection information according
to the EU General Data Protection Regulation 
(EU GDPR) on our hompage </t>
  </si>
  <si>
    <r>
      <rPr>
        <b/>
        <sz val="14"/>
        <color theme="1"/>
        <rFont val="Tahoma"/>
        <family val="2"/>
      </rPr>
      <t xml:space="preserve">Contract Preview </t>
    </r>
    <r>
      <rPr>
        <sz val="10"/>
        <color theme="1"/>
        <rFont val="Tahoma"/>
        <family val="2"/>
      </rPr>
      <t xml:space="preserve"> based on your selection fo brands and applications
The Preview is non-binding and shows the necessary contracts for implementation of the above selected conditions. In case of a change of implemented services currently active contracts are not be taken into account in this preview. The initiation and adjustment of contracts are tasks of the provisioning process for network &amp; application access. Differing results of contract drafting are possible between the provisioning process and this preview. 
Information about other services or further brands are not included in the preview. </t>
    </r>
  </si>
  <si>
    <t>Fehlermeldungen Summary</t>
  </si>
  <si>
    <t>entry mandatory</t>
  </si>
  <si>
    <t>incorrect DUNS, wrong number of digits</t>
  </si>
  <si>
    <t>e-mail address incorrect</t>
  </si>
  <si>
    <t>DUNS number identical to contract location. The DUNS needs to be differ from this.</t>
  </si>
  <si>
    <t>contact data record (technique) incomplete</t>
  </si>
  <si>
    <t>contact data record (invoice) incomplete</t>
  </si>
  <si>
    <t>select at least one brand</t>
  </si>
  <si>
    <t>selection of brand 1 is pending</t>
  </si>
  <si>
    <t>selection of applications for brand 1 is pending</t>
  </si>
  <si>
    <t>applications for brand 1 are already selected - nomination of brand is missing</t>
  </si>
  <si>
    <t>Demand of Audi Methodenkommunikation has not yet been fulfilled - request for implementation access Audi Mynet is pending</t>
  </si>
  <si>
    <t>service not available for the selected brand</t>
  </si>
  <si>
    <t>request for WTS is pending - entry mandatory for usage of DMZ drive</t>
  </si>
  <si>
    <t>name the other service/IP</t>
  </si>
  <si>
    <t>waiting for list of locations of use</t>
  </si>
  <si>
    <t>selection of application for this contact is pending</t>
  </si>
  <si>
    <t>data incomplete or not correct</t>
  </si>
  <si>
    <t>Incomplete or incorrect data area -&gt; revise your data</t>
  </si>
  <si>
    <t>address incomplete</t>
  </si>
  <si>
    <t>Prüfung ob B15 ja/nein eingetragen ist</t>
  </si>
  <si>
    <t>user independent e-mail address for electronic invoice service</t>
  </si>
  <si>
    <t>ADDITIONAL SHEET</t>
  </si>
  <si>
    <t>Nr</t>
  </si>
  <si>
    <t>Company</t>
  </si>
  <si>
    <t>Street</t>
  </si>
  <si>
    <t>Postcode</t>
  </si>
  <si>
    <t>City</t>
  </si>
  <si>
    <t>Country</t>
  </si>
  <si>
    <t>DUNS Number</t>
  </si>
  <si>
    <t>Processing note</t>
  </si>
  <si>
    <t>Additional Locations with data access via technical connection of the contractor.</t>
  </si>
  <si>
    <t>Invoice address
Please note: electronic invoice service is the usual one</t>
  </si>
  <si>
    <t>Does the contractor have data access?</t>
  </si>
  <si>
    <t>Greeca</t>
  </si>
  <si>
    <t>Is the service of this company directly ordered by Volkswagen Group?</t>
  </si>
  <si>
    <t>your further location information</t>
  </si>
  <si>
    <r>
      <t xml:space="preserve">e-invoicing service </t>
    </r>
    <r>
      <rPr>
        <i/>
        <u/>
        <sz val="10"/>
        <color theme="1"/>
        <rFont val="Tahoma"/>
        <family val="2"/>
      </rPr>
      <t>is not</t>
    </r>
    <r>
      <rPr>
        <sz val="10"/>
        <color theme="1"/>
        <rFont val="Tahoma"/>
        <family val="2"/>
      </rPr>
      <t xml:space="preserve"> possible </t>
    </r>
  </si>
  <si>
    <t>Are there any further locations with data access</t>
  </si>
  <si>
    <t xml:space="preserve">further services </t>
  </si>
  <si>
    <t>further services</t>
  </si>
  <si>
    <t>Prüfung ob Fazit als Applikation in den sonstigen Services eingetragen wurde</t>
  </si>
  <si>
    <t>Prüfung ob sonst Service ohne Markierungen benannt ist</t>
  </si>
  <si>
    <t>a further service/IP was named without brand allocation</t>
  </si>
  <si>
    <t>information about e-invoicing services are mandatory  (e-mail address or rejection)</t>
  </si>
  <si>
    <t>DUNS number identical to contract location. The DUNS usually different.</t>
  </si>
  <si>
    <t>waiting for recording of location overview. Listing is mandatory.</t>
  </si>
  <si>
    <t>location list incomplete</t>
  </si>
  <si>
    <t>select yes/no - further details at row 29</t>
  </si>
  <si>
    <t>select yes/no - further details at row 37</t>
  </si>
  <si>
    <t>fragt ob datenaustauschstandort</t>
  </si>
  <si>
    <t>Prüfung ob Firma Datenaustausch und Vertragsnehmer gleich sind</t>
  </si>
  <si>
    <t>vergleicht die firmennamen</t>
  </si>
  <si>
    <t>Social media at Audi 
(e.g.Audi mynet, Audi.dox, Audi contacts)</t>
  </si>
  <si>
    <t>Social media at Audi (e.g. Audi Mynet)</t>
  </si>
  <si>
    <t>form of address/title</t>
  </si>
  <si>
    <t>Prüfsumme für VW als Marke</t>
  </si>
  <si>
    <t>VW ausgewählt als 1.Marke? (1=ja, 0=nein)</t>
  </si>
  <si>
    <t>VW ausgewählt als 2. Marke? (1=ja, 0=nein)</t>
  </si>
  <si>
    <t>Prüfung ob Citrix ausgewählt wurde, markenunabhängig</t>
  </si>
  <si>
    <t>Citrix applications and services</t>
  </si>
  <si>
    <t>Zur Bearbeitung Spalten einblenden</t>
  </si>
  <si>
    <t>HINWEIS</t>
  </si>
  <si>
    <t>zur Bearbeitung Spalten einblenden</t>
  </si>
  <si>
    <t>zur Bearbeitung Zeilen einblenden</t>
  </si>
  <si>
    <t>zur Bearbeitung Spalten ausblenden</t>
  </si>
  <si>
    <t>Nomination of brand 1 is pending</t>
  </si>
  <si>
    <t>CAUTION: selection of brand for named further service/IP is pending - Service request not executable</t>
  </si>
  <si>
    <t>add information about usage of citrix</t>
  </si>
  <si>
    <t>Selection of applications for brand 2 is pending</t>
  </si>
  <si>
    <t>Order bases</t>
  </si>
  <si>
    <r>
      <rPr>
        <b/>
        <sz val="10"/>
        <color theme="1"/>
        <rFont val="Tahoma"/>
        <family val="2"/>
      </rPr>
      <t xml:space="preserve">Status of cooperation 
</t>
    </r>
    <r>
      <rPr>
        <sz val="9"/>
        <color theme="1"/>
        <rFont val="Tahoma"/>
        <family val="2"/>
      </rPr>
      <t>with Volkswagen Group, 
which is the basis of the order</t>
    </r>
  </si>
  <si>
    <r>
      <rPr>
        <b/>
        <sz val="14"/>
        <color theme="1"/>
        <rFont val="Tahoma"/>
        <family val="2"/>
      </rPr>
      <t>2</t>
    </r>
    <r>
      <rPr>
        <sz val="8"/>
        <color theme="1"/>
        <rFont val="Tahoma"/>
        <family val="2"/>
      </rPr>
      <t xml:space="preserve"> </t>
    </r>
    <r>
      <rPr>
        <b/>
        <sz val="10"/>
        <color theme="1"/>
        <rFont val="Tahoma"/>
        <family val="2"/>
      </rPr>
      <t>Registration of company data and order bases for contract preparation</t>
    </r>
  </si>
  <si>
    <r>
      <rPr>
        <b/>
        <sz val="8"/>
        <color theme="1"/>
        <rFont val="Tahoma"/>
        <family val="2"/>
      </rPr>
      <t>Modification</t>
    </r>
    <r>
      <rPr>
        <sz val="8"/>
        <color theme="1"/>
        <rFont val="Tahoma"/>
        <family val="2"/>
      </rPr>
      <t xml:space="preserve"> of network access, application portfolio or others</t>
    </r>
  </si>
  <si>
    <r>
      <rPr>
        <b/>
        <sz val="12"/>
        <color theme="1"/>
        <rFont val="Arial Black"/>
        <family val="2"/>
      </rPr>
      <t>comments for completeness</t>
    </r>
    <r>
      <rPr>
        <sz val="11"/>
        <color theme="1"/>
        <rFont val="Tahoma"/>
        <family val="2"/>
      </rPr>
      <t xml:space="preserve">
</t>
    </r>
    <r>
      <rPr>
        <b/>
        <sz val="10"/>
        <color rgb="FF0070C0"/>
        <rFont val="Tahoma"/>
        <family val="2"/>
      </rPr>
      <t xml:space="preserve">if </t>
    </r>
    <r>
      <rPr>
        <b/>
        <u/>
        <sz val="10"/>
        <color rgb="FFC00000"/>
        <rFont val="Tahoma"/>
        <family val="2"/>
      </rPr>
      <t>no</t>
    </r>
    <r>
      <rPr>
        <b/>
        <sz val="10"/>
        <color rgb="FFC00000"/>
        <rFont val="Tahoma"/>
        <family val="2"/>
      </rPr>
      <t xml:space="preserve"> comment is shown in red </t>
    </r>
    <r>
      <rPr>
        <b/>
        <sz val="10"/>
        <color rgb="FF0070C0"/>
        <rFont val="Tahoma"/>
        <family val="2"/>
      </rPr>
      <t xml:space="preserve">the checklist </t>
    </r>
    <r>
      <rPr>
        <b/>
        <sz val="10"/>
        <color rgb="FFC00000"/>
        <rFont val="Tahoma"/>
        <family val="2"/>
      </rPr>
      <t xml:space="preserve">
</t>
    </r>
    <r>
      <rPr>
        <b/>
        <sz val="10"/>
        <color rgb="FF0070C0"/>
        <rFont val="Tahoma"/>
        <family val="2"/>
      </rPr>
      <t>is ready for return</t>
    </r>
    <r>
      <rPr>
        <b/>
        <sz val="10"/>
        <color rgb="FFC00000"/>
        <rFont val="Tahoma"/>
        <family val="2"/>
      </rPr>
      <t xml:space="preserve">
</t>
    </r>
    <r>
      <rPr>
        <sz val="11"/>
        <color rgb="FF0070C0"/>
        <rFont val="Tahoma"/>
        <family val="2"/>
      </rPr>
      <t xml:space="preserve">
Please note: data corrections are not possible on this sheet -&gt; for any change please return to the individual data sheets</t>
    </r>
    <r>
      <rPr>
        <sz val="11"/>
        <color theme="1"/>
        <rFont val="Tahoma"/>
        <family val="2"/>
      </rPr>
      <t xml:space="preserve">
</t>
    </r>
  </si>
  <si>
    <r>
      <rPr>
        <b/>
        <sz val="14"/>
        <color theme="1"/>
        <rFont val="Tahoma"/>
        <family val="2"/>
      </rPr>
      <t xml:space="preserve">5 </t>
    </r>
    <r>
      <rPr>
        <b/>
        <sz val="10"/>
        <color theme="1"/>
        <rFont val="Tahoma"/>
        <family val="2"/>
      </rPr>
      <t xml:space="preserve">Registration of contacts of VW Group departments </t>
    </r>
    <r>
      <rPr>
        <sz val="10"/>
        <color theme="1"/>
        <rFont val="Tahoma"/>
        <family val="2"/>
      </rPr>
      <t xml:space="preserve">
The provision of network access and application usage has usually to be approved by a department of VW Group.
The evaluation of the need for an approval as well as the approval by the Volkswagen group department itself are carried out according to rules and guidelines of the Volkswagen Group.
The approval has to be done by the cooperation department of VW Group for each application separately. Operational service performs the task to pick up the confirmation.
To make the contact a contact person of your cooperating department of VW Group has to be named for each selected application </t>
    </r>
    <r>
      <rPr>
        <u/>
        <sz val="10"/>
        <color theme="1"/>
        <rFont val="Tahoma"/>
        <family val="2"/>
      </rPr>
      <t>AND</t>
    </r>
    <r>
      <rPr>
        <sz val="10"/>
        <color theme="1"/>
        <rFont val="Tahoma"/>
        <family val="2"/>
      </rPr>
      <t xml:space="preserve"> requested brand. 
Depending on your selection of brands and applications on sheet "applications" mandatory fields are highlighted with yellow color for filling.
If the selection is incorrect or incomplete please go back to sheet "applications" and check your selection. Any correction of applications or brands are not possible at this sheet.</t>
    </r>
  </si>
  <si>
    <t>Prüfung ob KVS und SimplX gewählt wurden, markenübergreifend</t>
  </si>
  <si>
    <t>Prüfung Auswahl KVS, Marke 1</t>
  </si>
  <si>
    <t>Prüfung Auswahl SimplX, Marke 1</t>
  </si>
  <si>
    <t>Prüfung ob SimplX Auswahl Marke 1 auch zulässig  ist für die Marke</t>
  </si>
  <si>
    <t>Hinweis auf überflüssige Auswahl Simplx für Marke 1</t>
  </si>
  <si>
    <t>Klartext Zulässigkeit</t>
  </si>
  <si>
    <t>Klartext Überflüssig</t>
  </si>
  <si>
    <t>Meldung für Marke 1</t>
  </si>
  <si>
    <t>Prüfung Auswahl KVS, Marke 2</t>
  </si>
  <si>
    <t>Prüfung Auswahl SimplX, Marke 2</t>
  </si>
  <si>
    <t>Prüfung ob SimplX Auswahl der Marke 2 auch zulässig ist für die Marke</t>
  </si>
  <si>
    <t>Hinweis auf überflüssige Auswahl Simplx für Marke 2</t>
  </si>
  <si>
    <t>Meldung für Marke 2</t>
  </si>
  <si>
    <t>Zusammenführung der Marken 1-2, Bewertung überflüssig</t>
  </si>
  <si>
    <t>Zusammenführung der Marken 2-1, Bewertung überflüssig</t>
  </si>
  <si>
    <t>Zusammenfassung SimplX</t>
  </si>
  <si>
    <t>Zusammenfassung SimplX Zulässigkeit</t>
  </si>
  <si>
    <t>Meldung</t>
  </si>
  <si>
    <t>1=ja, 0=nein</t>
  </si>
  <si>
    <t>20=unzulässig; 1=zulässig, 0=keine Entscheidung da kein SimplX</t>
  </si>
  <si>
    <t>1=Info das überflüssig</t>
  </si>
  <si>
    <t>Prüfung auf 20</t>
  </si>
  <si>
    <t>SimplX is not required if KVS is used, also cross-brand</t>
  </si>
  <si>
    <t xml:space="preserve">
service not available for the selected brand</t>
  </si>
  <si>
    <t xml:space="preserve">
SimplX is not required if KVS is used, also cross-brand</t>
  </si>
  <si>
    <t>Zur Bearbeitung Blattschutz aufheben und Spalten zur Bearbeitung einblenden</t>
  </si>
  <si>
    <r>
      <rPr>
        <u/>
        <sz val="9"/>
        <color rgb="FFC00000"/>
        <rFont val="Tahoma"/>
        <family val="2"/>
      </rPr>
      <t>Please note:</t>
    </r>
    <r>
      <rPr>
        <sz val="9"/>
        <color theme="1"/>
        <rFont val="Tahoma"/>
        <family val="2"/>
      </rPr>
      <t xml:space="preserve">
The proof of appropriate information security by a TISAX® assessment is a precondition for the technical connection to the partner networks of Volkswagen and/or Audi. 
You can find more information at portal.enx.com.
Take into account that the duration of the connection/change provision can be significantly extended by a missing or invalid TISAX® assessment.
If the proof of a valid TISAX® assessment is only possible with a significant delay, please inform our Service Support Center immediately.
As soon as
-   your company can prove a valid TISAX® assessment,
-   a copy of commercial registers (business registration) of the contractor and the completely filled csn shortlist are available at operational services,
-  confirmation of the request for application access by your commissioning department of VW Group was issued as well as a valid non-disclosure agreement 
   of your company with VW Group has been proved,
we are goint to start the setup of connection to the Volkswagen / Audi partner net as well as related application access. 
The Service Support Center will  provide you information for expected proofs/documents/releases or how the proofs are to be provided at any time.</t>
    </r>
  </si>
  <si>
    <t>Shortlist for preparation / extension of collaboration 
with Volkswagen Group</t>
  </si>
  <si>
    <r>
      <rPr>
        <b/>
        <sz val="10"/>
        <color theme="1"/>
        <rFont val="Tahoma"/>
        <family val="2"/>
      </rPr>
      <t>Project name</t>
    </r>
    <r>
      <rPr>
        <sz val="10"/>
        <color theme="1"/>
        <rFont val="Tahoma"/>
        <family val="2"/>
      </rPr>
      <t xml:space="preserve">
Name of the project on which the request for provision of the network connection / modification of network acces is based  </t>
    </r>
  </si>
  <si>
    <r>
      <rPr>
        <b/>
        <sz val="9"/>
        <color theme="1"/>
        <rFont val="Tahoma"/>
        <family val="2"/>
      </rPr>
      <t>Instructions for filling:</t>
    </r>
    <r>
      <rPr>
        <sz val="9"/>
        <color theme="1"/>
        <rFont val="Tahoma"/>
        <family val="2"/>
      </rPr>
      <t xml:space="preserve">
- The shortlist should be filled in by both the responsible department of VW Group (internal contact person for the partner company) and the partner company itself (functional project manager).
- The document "CSN first information" will help you to make your decisions. Within this document there are further information regarding non-disclosure agreement, evaluation of information security, possible providers and types of connections.
- Please have a look on each single worksheet, make your decisions and fill in the fields as requested. 
  Descriptions, comments and colored highlights will help you and serve as assistance.
- For more information about the data fields click on the table headlines and fields itself. 
- If data for mandatory fields are unusual for your country please fill in 0 as wild-card.
  Contents that cannot be registered in the form can be sent by e-mail. 
  Use the same format when specifiying your data as in the shortlist.
Observe the notes on completeness on each spreadsheet.
Any confirmation for data only refers to completeness. Content check is not yet executed.</t>
    </r>
  </si>
  <si>
    <r>
      <t xml:space="preserve">e-invoicing service is </t>
    </r>
    <r>
      <rPr>
        <sz val="10"/>
        <color rgb="FFC00000"/>
        <rFont val="Tahoma"/>
        <family val="2"/>
      </rPr>
      <t xml:space="preserve">not possible </t>
    </r>
  </si>
  <si>
    <t>https://www.operational-services.de/fileadmin/user_upload/Schulungen/Dokumente/CSN/EN/CSN_Initial_Information.pdf</t>
  </si>
  <si>
    <r>
      <t xml:space="preserve">
For which other brands of VW group the marked applications will be used for cooperation with the brand? 
</t>
    </r>
    <r>
      <rPr>
        <b/>
        <sz val="10"/>
        <color rgb="FFFFFF00"/>
        <rFont val="Tahoma"/>
        <family val="2"/>
      </rPr>
      <t>(call brand + application)</t>
    </r>
  </si>
  <si>
    <r>
      <rPr>
        <b/>
        <sz val="14"/>
        <color theme="1"/>
        <rFont val="Tahoma"/>
        <family val="2"/>
      </rPr>
      <t xml:space="preserve">4 </t>
    </r>
    <r>
      <rPr>
        <b/>
        <sz val="10"/>
        <color theme="1"/>
        <rFont val="Tahoma"/>
        <family val="2"/>
      </rPr>
      <t>Registration of services and applications for cooperation with VW Group</t>
    </r>
    <r>
      <rPr>
        <sz val="10"/>
        <color theme="1"/>
        <rFont val="Tahoma"/>
        <family val="2"/>
      </rPr>
      <t xml:space="preserve">
Please select brands-specifically the applications. We recommend to make the selection in close contact with your engaging and cooperating department of VW Group. 
Please note that for a few applications an additional application contract has to be closed (PDM contract). Contract and other documents will be provided only </t>
    </r>
    <r>
      <rPr>
        <u/>
        <sz val="10"/>
        <color rgb="FFC00000"/>
        <rFont val="Tahoma"/>
        <family val="2"/>
      </rPr>
      <t>after successful  proof of appropriate information security by a TISAX® assessment</t>
    </r>
    <r>
      <rPr>
        <sz val="10"/>
        <color theme="1"/>
        <rFont val="Tahoma"/>
        <family val="2"/>
      </rPr>
      <t>. 
In addition to the selection of applications one contact has to be named. It would assist us intensively if the contact is a key user or application expert.</t>
    </r>
  </si>
  <si>
    <t>currently not in use</t>
  </si>
  <si>
    <t>Unternehmensdaten vorhanden</t>
  </si>
  <si>
    <t>Label Eintrag</t>
  </si>
  <si>
    <t>Datum erwünscht</t>
  </si>
  <si>
    <t>Prüfung Label mit Gültigkeitsangabe</t>
  </si>
  <si>
    <t>Datum belegt</t>
  </si>
  <si>
    <t>Abgleich Gültigkeitsangabe mit Bearbeitungshinweis</t>
  </si>
  <si>
    <t>1-Normaler Schutzbedarf</t>
  </si>
  <si>
    <r>
      <t>ADDITIONAL SHEET</t>
    </r>
    <r>
      <rPr>
        <sz val="8"/>
        <color theme="3" tint="-0.249977111117893"/>
        <rFont val="Tahoma"/>
        <family val="2"/>
      </rPr>
      <t xml:space="preserve">  </t>
    </r>
    <r>
      <rPr>
        <b/>
        <sz val="10"/>
        <color theme="3" tint="-0.249977111117893"/>
        <rFont val="Tahoma"/>
        <family val="2"/>
      </rPr>
      <t>Recording of the TISAX assessment status of the named locations</t>
    </r>
  </si>
  <si>
    <t>Location of the contractor</t>
  </si>
  <si>
    <t>Futher location with data access</t>
  </si>
  <si>
    <t>Location of the technical connection</t>
  </si>
  <si>
    <t>Locations from sheet - company data -</t>
  </si>
  <si>
    <t xml:space="preserve">further locations from sheet -add on data access locations - </t>
  </si>
  <si>
    <r>
      <t xml:space="preserve">information about the valid </t>
    </r>
    <r>
      <rPr>
        <b/>
        <sz val="8"/>
        <color rgb="FF002060"/>
        <rFont val="Tahoma"/>
        <family val="2"/>
      </rPr>
      <t xml:space="preserve">TISAX label </t>
    </r>
    <r>
      <rPr>
        <sz val="8"/>
        <color rgb="FF002060"/>
        <rFont val="Tahoma"/>
        <family val="2"/>
      </rPr>
      <t xml:space="preserve">
of the location</t>
    </r>
  </si>
  <si>
    <t>currrent TISAX label valid until</t>
  </si>
  <si>
    <t>planned assessment date</t>
  </si>
  <si>
    <t>Has Volkswagen Group been granted access to the audit result?</t>
  </si>
  <si>
    <t>The proof of the TISAX® label has to be provided site-related. 
Each location of the company, which receives access to the services within the scope of your request, has to prove the  valid  TISAX® label.</t>
  </si>
  <si>
    <t>TISAX Label</t>
  </si>
  <si>
    <t>1-Normaler Schutzbedarf =     Ein gültiges TISAX Label AL1 liegt für den Standort vor</t>
  </si>
  <si>
    <t>2-Hoher Schutzbedarf =     Ein gültiges TISAX Label AL2 liegt für den Standort vor</t>
  </si>
  <si>
    <t>3-Sehr hoher Schutzbedarf =    Ein gültiges TISAX Label AL3 liegt für den Standort vor</t>
  </si>
  <si>
    <t>noch keine Auditierung  in Vorbereitung =     Für den Standort ist noch kein TISAX Assessment in Vorbereitung</t>
  </si>
  <si>
    <t>Auditierung in Vorbereitung =    Das TISAX Assessment ist gestartet, unabhängig vom Vorbereitungsstand</t>
  </si>
  <si>
    <t>keine Rezertifizierung angestoßen=    Es lag ein TISAX Label vor, die Gültigkeit ist jedoch abgelaufen. Eine Rezertifizierung wurde bisher nicht angestrebt.</t>
  </si>
  <si>
    <t>Rezertifizierung läuft =    Es lag ein TISAX Label vor, die Gültigkeit ist jedoch abgelaufen. Eine Rezertifizierung ist angelaufen.</t>
  </si>
  <si>
    <t>Status unbekannt =     Keine Kenntnis zum Status des TISAX Assessments</t>
  </si>
  <si>
    <t>--- currently valid TISAX label--------------</t>
  </si>
  <si>
    <t>--- Initial assessment is pending --------------</t>
  </si>
  <si>
    <t>--- Validity expired -------------</t>
  </si>
  <si>
    <t>--- no statement possible --------------</t>
  </si>
  <si>
    <t>1-normal protection needs</t>
  </si>
  <si>
    <t>2-high protection needs</t>
  </si>
  <si>
    <t>3-very high protection needs</t>
  </si>
  <si>
    <t>no audit in preparation yet</t>
  </si>
  <si>
    <t>audit in preparation</t>
  </si>
  <si>
    <t>no re-assessment initiated</t>
  </si>
  <si>
    <t xml:space="preserve">re-assessment is ongoing </t>
  </si>
  <si>
    <t>status unknown</t>
  </si>
  <si>
    <t>"The TISAX-label is for suppliers the ticket to the automotive industry; 
it's the basic requirement for them to be able to work with OEMs currently and in the future."</t>
  </si>
  <si>
    <r>
      <t>Information about TISAX</t>
    </r>
    <r>
      <rPr>
        <b/>
        <vertAlign val="superscript"/>
        <sz val="14"/>
        <color theme="1"/>
        <rFont val="Tahoma"/>
        <family val="2"/>
      </rPr>
      <t>®</t>
    </r>
    <r>
      <rPr>
        <b/>
        <sz val="14"/>
        <color theme="1"/>
        <rFont val="Tahoma"/>
        <family val="2"/>
      </rPr>
      <t xml:space="preserve"> Label</t>
    </r>
  </si>
  <si>
    <t>important links</t>
  </si>
  <si>
    <t>status of collaboration with Volkswagen Group (order bases)</t>
  </si>
  <si>
    <t>set-up of a new network access / change of a current connection</t>
  </si>
  <si>
    <t>please fill the TISAX status</t>
  </si>
  <si>
    <t xml:space="preserve">location-based information about TISAX status  </t>
  </si>
  <si>
    <r>
      <t xml:space="preserve">project </t>
    </r>
    <r>
      <rPr>
        <sz val="10"/>
        <color theme="0" tint="-0.34998626667073579"/>
        <rFont val="Tahoma"/>
        <family val="2"/>
      </rPr>
      <t>(reason of request)</t>
    </r>
  </si>
  <si>
    <t>further locations with service- and data access</t>
  </si>
  <si>
    <t>location information incomplete</t>
  </si>
  <si>
    <t>return to csn.service@o-s.de</t>
  </si>
  <si>
    <t>For any further information please contact CSN SERVICE 
+49 375 60619 904 or csn.service@o-s.de</t>
  </si>
  <si>
    <r>
      <t xml:space="preserve">For any further information please contact </t>
    </r>
    <r>
      <rPr>
        <b/>
        <sz val="10"/>
        <color theme="1" tint="0.34998626667073579"/>
        <rFont val="Tahoma"/>
        <family val="2"/>
      </rPr>
      <t xml:space="preserve">CSN SERVICE </t>
    </r>
    <r>
      <rPr>
        <sz val="10"/>
        <color theme="1" tint="0.34998626667073579"/>
        <rFont val="Tahoma"/>
        <family val="2"/>
      </rPr>
      <t xml:space="preserve">
+49 375 60619 904 or csn.service@o-s.de</t>
    </r>
  </si>
  <si>
    <t>For further information  please contact CSN SERVICE
+49 375 60619 904 or csn.service@o-s.de</t>
  </si>
  <si>
    <r>
      <rPr>
        <b/>
        <sz val="8"/>
        <color theme="1"/>
        <rFont val="Tahoma"/>
        <family val="2"/>
      </rPr>
      <t>New</t>
    </r>
    <r>
      <rPr>
        <sz val="8"/>
        <color theme="1"/>
        <rFont val="Tahoma"/>
        <family val="2"/>
      </rPr>
      <t xml:space="preserve"> </t>
    </r>
    <r>
      <rPr>
        <b/>
        <sz val="8"/>
        <color theme="1"/>
        <rFont val="Tahoma"/>
        <family val="2"/>
      </rPr>
      <t>set-up</t>
    </r>
    <r>
      <rPr>
        <sz val="8"/>
        <color theme="1"/>
        <rFont val="Tahoma"/>
        <family val="2"/>
      </rPr>
      <t xml:space="preserve"> of a 
network access PFN VW / Audi</t>
    </r>
  </si>
  <si>
    <t>document version 1.21b (valid from 08/04/2021)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</si>
</sst>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quot;-&quot;000000000000000"/>
    <numFmt numFmtId="165" formatCode="##&quot;-&quot;000&quot;-&quot;0000"/>
    <numFmt numFmtId="166" formatCode="00&quot;-&quot;000&quot;-&quot;0000"/>
  </numFmts>
  <fonts count="175" x14ac:knownFonts="1">
    <font>
      <sz val="11"/>
      <color theme="1"/>
      <name val="Calibri"/>
      <family val="2"/>
      <scheme val="minor"/>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sz val="10"/>
      <color theme="1"/>
      <name val="Tahoma"/>
      <family val="2"/>
    </font>
    <font>
      <b/>
      <sz val="11"/>
      <color theme="1"/>
      <name val="Tahoma"/>
      <family val="2"/>
    </font>
    <font>
      <sz val="11"/>
      <color theme="1"/>
      <name val="Tahoma"/>
      <family val="2"/>
    </font>
    <font>
      <b/>
      <sz val="11"/>
      <color theme="0"/>
      <name val="Tahoma"/>
      <family val="2"/>
    </font>
    <font>
      <sz val="11"/>
      <color theme="0"/>
      <name val="Tahoma"/>
      <family val="2"/>
    </font>
    <font>
      <b/>
      <sz val="16"/>
      <color theme="1"/>
      <name val="Tahoma"/>
      <family val="2"/>
    </font>
    <font>
      <u/>
      <sz val="11"/>
      <color theme="10"/>
      <name val="Calibri"/>
      <family val="2"/>
      <scheme val="minor"/>
    </font>
    <font>
      <sz val="10"/>
      <name val="Tahoma"/>
      <family val="2"/>
    </font>
    <font>
      <sz val="10"/>
      <color theme="1"/>
      <name val="Tahoma"/>
      <family val="2"/>
    </font>
    <font>
      <sz val="11"/>
      <color theme="0"/>
      <name val="Calibri"/>
      <family val="2"/>
      <scheme val="minor"/>
    </font>
    <font>
      <sz val="8"/>
      <color theme="1"/>
      <name val="Tahoma"/>
      <family val="2"/>
    </font>
    <font>
      <sz val="8"/>
      <color rgb="FFFF0000"/>
      <name val="Tahoma"/>
      <family val="2"/>
    </font>
    <font>
      <sz val="10"/>
      <color theme="1"/>
      <name val="Calibri"/>
      <family val="2"/>
      <scheme val="minor"/>
    </font>
    <font>
      <sz val="10"/>
      <color rgb="FFFF0000"/>
      <name val="Tahoma"/>
      <family val="2"/>
    </font>
    <font>
      <sz val="9"/>
      <color theme="1"/>
      <name val="Tahoma"/>
      <family val="2"/>
    </font>
    <font>
      <sz val="10"/>
      <color rgb="FFC00000"/>
      <name val="Tahoma"/>
      <family val="2"/>
    </font>
    <font>
      <b/>
      <sz val="10"/>
      <color theme="1"/>
      <name val="Tahoma"/>
      <family val="2"/>
    </font>
    <font>
      <sz val="12"/>
      <color theme="1"/>
      <name val="Calibri"/>
      <family val="2"/>
      <scheme val="minor"/>
    </font>
    <font>
      <b/>
      <sz val="14"/>
      <color rgb="FFFF0000"/>
      <name val="Tahoma"/>
      <family val="2"/>
    </font>
    <font>
      <sz val="11"/>
      <color theme="1"/>
      <name val="Calibri"/>
      <family val="2"/>
      <scheme val="minor"/>
    </font>
    <font>
      <sz val="12"/>
      <color theme="0"/>
      <name val="Tahoma"/>
      <family val="2"/>
    </font>
    <font>
      <b/>
      <sz val="12"/>
      <color theme="1"/>
      <name val="Tahoma"/>
      <family val="2"/>
    </font>
    <font>
      <sz val="12"/>
      <color theme="1"/>
      <name val="Tahoma"/>
      <family val="2"/>
    </font>
    <font>
      <sz val="9"/>
      <color rgb="FFC00000"/>
      <name val="Tahoma"/>
      <family val="2"/>
    </font>
    <font>
      <sz val="10"/>
      <color theme="0"/>
      <name val="Tahoma"/>
      <family val="2"/>
    </font>
    <font>
      <sz val="11"/>
      <color theme="1"/>
      <name val="Calibri"/>
      <family val="2"/>
    </font>
    <font>
      <sz val="11"/>
      <color indexed="8"/>
      <name val="Calibri"/>
      <family val="2"/>
    </font>
    <font>
      <sz val="10"/>
      <name val="Arial"/>
      <family val="2"/>
    </font>
    <font>
      <sz val="14"/>
      <color theme="1"/>
      <name val="Tahoma"/>
      <family val="2"/>
    </font>
    <font>
      <b/>
      <sz val="14"/>
      <color theme="1"/>
      <name val="Tahoma"/>
      <family val="2"/>
    </font>
    <font>
      <b/>
      <sz val="9"/>
      <color theme="1"/>
      <name val="Tahoma"/>
      <family val="2"/>
    </font>
    <font>
      <sz val="10"/>
      <color theme="3" tint="-0.249977111117893"/>
      <name val="Tahoma"/>
      <family val="2"/>
    </font>
    <font>
      <sz val="8"/>
      <color rgb="FFC00000"/>
      <name val="Tahoma"/>
      <family val="2"/>
    </font>
    <font>
      <sz val="10"/>
      <color rgb="FF000000"/>
      <name val="Tahoma"/>
      <family val="2"/>
    </font>
    <font>
      <b/>
      <sz val="12"/>
      <color theme="0"/>
      <name val="Tahoma"/>
      <family val="2"/>
    </font>
    <font>
      <sz val="8"/>
      <color theme="3" tint="-0.249977111117893"/>
      <name val="Tahoma"/>
      <family val="2"/>
    </font>
    <font>
      <sz val="7"/>
      <color theme="3" tint="-0.249977111117893"/>
      <name val="Tahoma"/>
      <family val="2"/>
    </font>
    <font>
      <b/>
      <sz val="10"/>
      <color theme="0"/>
      <name val="Tahoma"/>
      <family val="2"/>
    </font>
    <font>
      <u/>
      <sz val="9"/>
      <color theme="10"/>
      <name val="Tahoma"/>
      <family val="2"/>
    </font>
    <font>
      <u/>
      <sz val="10"/>
      <color theme="0"/>
      <name val="Tahoma"/>
      <family val="2"/>
    </font>
    <font>
      <i/>
      <sz val="10"/>
      <color theme="1"/>
      <name val="Tahoma"/>
      <family val="2"/>
    </font>
    <font>
      <sz val="10"/>
      <color theme="0" tint="-0.249977111117893"/>
      <name val="Tahoma"/>
      <family val="2"/>
    </font>
    <font>
      <sz val="8"/>
      <color theme="1" tint="0.34998626667073579"/>
      <name val="Tahoma"/>
      <family val="2"/>
    </font>
    <font>
      <sz val="9"/>
      <color theme="0"/>
      <name val="Tahoma"/>
      <family val="2"/>
    </font>
    <font>
      <b/>
      <sz val="14"/>
      <color rgb="FFC00000"/>
      <name val="Tahoma"/>
      <family val="2"/>
    </font>
    <font>
      <u/>
      <sz val="10"/>
      <color rgb="FFC00000"/>
      <name val="Tahoma"/>
      <family val="2"/>
    </font>
    <font>
      <sz val="10"/>
      <color theme="3" tint="0.39997558519241921"/>
      <name val="Tahoma"/>
      <family val="2"/>
    </font>
    <font>
      <sz val="9"/>
      <color rgb="FFFF0000"/>
      <name val="Tahoma"/>
      <family val="2"/>
    </font>
    <font>
      <sz val="11"/>
      <color rgb="FFFF0000"/>
      <name val="Tahoma"/>
      <family val="2"/>
    </font>
    <font>
      <b/>
      <sz val="9"/>
      <color rgb="FFFF0000"/>
      <name val="Tahoma"/>
      <family val="2"/>
    </font>
    <font>
      <b/>
      <sz val="11"/>
      <color theme="1"/>
      <name val="Calibri"/>
      <family val="2"/>
      <scheme val="minor"/>
    </font>
    <font>
      <u/>
      <sz val="11"/>
      <color theme="0"/>
      <name val="Calibri"/>
      <family val="2"/>
      <scheme val="minor"/>
    </font>
    <font>
      <b/>
      <sz val="12"/>
      <color rgb="FFFFFF00"/>
      <name val="Tahoma"/>
      <family val="2"/>
    </font>
    <font>
      <sz val="10"/>
      <color rgb="FFFFFF00"/>
      <name val="Tahoma"/>
      <family val="2"/>
    </font>
    <font>
      <u/>
      <sz val="9"/>
      <color theme="1"/>
      <name val="Tahoma"/>
      <family val="2"/>
    </font>
    <font>
      <b/>
      <sz val="14"/>
      <color rgb="FFFFFF00"/>
      <name val="Tahoma"/>
      <family val="2"/>
    </font>
    <font>
      <sz val="10"/>
      <color theme="1" tint="0.34998626667073579"/>
      <name val="Tahoma"/>
      <family val="2"/>
    </font>
    <font>
      <sz val="10"/>
      <color theme="6" tint="-0.249977111117893"/>
      <name val="Tahoma"/>
      <family val="2"/>
    </font>
    <font>
      <sz val="7"/>
      <color theme="1"/>
      <name val="Tahoma"/>
      <family val="2"/>
    </font>
    <font>
      <sz val="8"/>
      <color theme="0"/>
      <name val="Tahoma"/>
      <family val="2"/>
    </font>
    <font>
      <u/>
      <sz val="9"/>
      <color theme="0"/>
      <name val="Tahoma"/>
      <family val="2"/>
    </font>
    <font>
      <sz val="8"/>
      <color theme="1"/>
      <name val="Calibri"/>
      <family val="2"/>
      <scheme val="minor"/>
    </font>
    <font>
      <b/>
      <sz val="13"/>
      <color rgb="FF00B050"/>
      <name val="Tahoma"/>
      <family val="2"/>
    </font>
    <font>
      <b/>
      <sz val="14"/>
      <color rgb="FF00B050"/>
      <name val="Tahoma"/>
      <family val="2"/>
    </font>
    <font>
      <b/>
      <sz val="13"/>
      <color rgb="FFC00000"/>
      <name val="Tahoma"/>
      <family val="2"/>
    </font>
    <font>
      <b/>
      <sz val="14"/>
      <color rgb="FFC00000"/>
      <name val="Calibri"/>
      <family val="2"/>
      <scheme val="minor"/>
    </font>
    <font>
      <u/>
      <sz val="14"/>
      <color theme="1" tint="0.249977111117893"/>
      <name val="Tahoma"/>
      <family val="2"/>
    </font>
    <font>
      <b/>
      <sz val="12"/>
      <color theme="0" tint="-4.9989318521683403E-2"/>
      <name val="Franklin Gothic Heavy"/>
      <family val="2"/>
    </font>
    <font>
      <sz val="9"/>
      <color indexed="81"/>
      <name val="Tahoma"/>
      <family val="2"/>
    </font>
    <font>
      <b/>
      <sz val="9"/>
      <color indexed="81"/>
      <name val="Tahoma"/>
      <family val="2"/>
    </font>
    <font>
      <sz val="10"/>
      <color indexed="81"/>
      <name val="Tahoma"/>
      <family val="2"/>
    </font>
    <font>
      <b/>
      <sz val="10"/>
      <color indexed="81"/>
      <name val="Tahoma"/>
      <family val="2"/>
    </font>
    <font>
      <u/>
      <sz val="9"/>
      <color rgb="FFC00000"/>
      <name val="Tahoma"/>
      <family val="2"/>
    </font>
    <font>
      <sz val="8"/>
      <color theme="0" tint="-0.34998626667073579"/>
      <name val="Tahoma"/>
      <family val="2"/>
    </font>
    <font>
      <b/>
      <sz val="10"/>
      <color theme="1" tint="0.34998626667073579"/>
      <name val="Tahoma"/>
      <family val="2"/>
    </font>
    <font>
      <sz val="9"/>
      <color theme="10"/>
      <name val="Tahoma"/>
      <family val="2"/>
    </font>
    <font>
      <sz val="10"/>
      <color theme="10"/>
      <name val="Tahoma"/>
      <family val="2"/>
    </font>
    <font>
      <sz val="9"/>
      <color theme="6" tint="-0.249977111117893"/>
      <name val="Tahoma"/>
      <family val="2"/>
    </font>
    <font>
      <sz val="8"/>
      <color theme="4" tint="-0.249977111117893"/>
      <name val="Tahoma"/>
      <family val="2"/>
    </font>
    <font>
      <sz val="11"/>
      <color theme="3" tint="-0.249977111117893"/>
      <name val="Tahoma"/>
      <family val="2"/>
    </font>
    <font>
      <b/>
      <sz val="14"/>
      <color theme="0"/>
      <name val="Tahoma"/>
      <family val="2"/>
    </font>
    <font>
      <sz val="8"/>
      <color theme="6" tint="-0.249977111117893"/>
      <name val="Tahoma"/>
      <family val="2"/>
    </font>
    <font>
      <sz val="10"/>
      <color rgb="FF002060"/>
      <name val="Tahoma"/>
      <family val="2"/>
    </font>
    <font>
      <u/>
      <sz val="10"/>
      <color theme="1"/>
      <name val="Tahoma"/>
      <family val="2"/>
    </font>
    <font>
      <b/>
      <sz val="10"/>
      <color rgb="FFC00000"/>
      <name val="Tahoma"/>
      <family val="2"/>
    </font>
    <font>
      <sz val="8"/>
      <color rgb="FFFFFF00"/>
      <name val="Tahoma"/>
      <family val="2"/>
    </font>
    <font>
      <sz val="11"/>
      <color rgb="FFFFFF00"/>
      <name val="Tahoma"/>
      <family val="2"/>
    </font>
    <font>
      <b/>
      <sz val="14"/>
      <color rgb="FFFFFF00"/>
      <name val="Arial Black"/>
      <family val="2"/>
    </font>
    <font>
      <b/>
      <sz val="13"/>
      <color theme="1" tint="0.34998626667073579"/>
      <name val="Arial Black"/>
      <family val="2"/>
    </font>
    <font>
      <sz val="11"/>
      <color theme="10"/>
      <name val="Calibri"/>
      <family val="2"/>
      <scheme val="minor"/>
    </font>
    <font>
      <b/>
      <sz val="14"/>
      <color theme="6" tint="-0.249977111117893"/>
      <name val="Tahoma"/>
      <family val="2"/>
    </font>
    <font>
      <sz val="14"/>
      <color theme="6" tint="-0.499984740745262"/>
      <name val="Tahoma"/>
      <family val="2"/>
    </font>
    <font>
      <b/>
      <sz val="15"/>
      <color theme="1"/>
      <name val="Tahoma"/>
      <family val="2"/>
    </font>
    <font>
      <b/>
      <sz val="14"/>
      <color theme="0"/>
      <name val="Franklin Gothic Heavy"/>
      <family val="2"/>
    </font>
    <font>
      <u/>
      <sz val="10"/>
      <color theme="1"/>
      <name val="Calibri"/>
      <family val="2"/>
      <scheme val="minor"/>
    </font>
    <font>
      <b/>
      <sz val="14"/>
      <color rgb="FFC00000"/>
      <name val="Arial"/>
      <family val="2"/>
    </font>
    <font>
      <sz val="10"/>
      <color theme="0" tint="-0.34998626667073579"/>
      <name val="Tahoma"/>
      <family val="2"/>
    </font>
    <font>
      <b/>
      <sz val="12"/>
      <color theme="1"/>
      <name val="Arial Black"/>
      <family val="2"/>
    </font>
    <font>
      <sz val="11"/>
      <color rgb="FF0070C0"/>
      <name val="Tahoma"/>
      <family val="2"/>
    </font>
    <font>
      <sz val="11"/>
      <color rgb="FFC00000"/>
      <name val="Tahoma"/>
      <family val="2"/>
    </font>
    <font>
      <sz val="11"/>
      <color theme="0" tint="-0.249977111117893"/>
      <name val="Calibri"/>
      <family val="2"/>
      <scheme val="minor"/>
    </font>
    <font>
      <sz val="9"/>
      <color theme="1"/>
      <name val="Calibri"/>
      <family val="2"/>
      <scheme val="minor"/>
    </font>
    <font>
      <sz val="8"/>
      <color rgb="FF0070C0"/>
      <name val="Tahoma"/>
      <family val="2"/>
    </font>
    <font>
      <sz val="9"/>
      <name val="Tahoma"/>
      <family val="2"/>
    </font>
    <font>
      <i/>
      <u/>
      <sz val="10"/>
      <color theme="1"/>
      <name val="Tahoma"/>
      <family val="2"/>
    </font>
    <font>
      <sz val="9"/>
      <color indexed="81"/>
      <name val="Segoe UI"/>
      <family val="2"/>
    </font>
    <font>
      <b/>
      <sz val="14"/>
      <color indexed="81"/>
      <name val="Segoe UI"/>
      <family val="2"/>
    </font>
    <font>
      <sz val="9"/>
      <color indexed="81"/>
      <name val="Arial"/>
      <family val="2"/>
    </font>
    <font>
      <b/>
      <sz val="14"/>
      <color indexed="81"/>
      <name val="Arial"/>
      <family val="2"/>
    </font>
    <font>
      <b/>
      <sz val="8"/>
      <color theme="1"/>
      <name val="Tahoma"/>
      <family val="2"/>
    </font>
    <font>
      <sz val="10"/>
      <color theme="4" tint="-0.249977111117893"/>
      <name val="Tahoma"/>
      <family val="2"/>
    </font>
    <font>
      <b/>
      <sz val="11"/>
      <color theme="3"/>
      <name val="Calibri"/>
      <family val="2"/>
      <scheme val="minor"/>
    </font>
    <font>
      <sz val="10"/>
      <color theme="3"/>
      <name val="Tahoma"/>
      <family val="2"/>
    </font>
    <font>
      <sz val="11"/>
      <color theme="3"/>
      <name val="Calibri"/>
      <family val="2"/>
      <scheme val="minor"/>
    </font>
    <font>
      <sz val="11"/>
      <color theme="3"/>
      <name val="Tahoma"/>
      <family val="2"/>
    </font>
    <font>
      <b/>
      <sz val="11"/>
      <color theme="3"/>
      <name val="Tahoma"/>
      <family val="2"/>
    </font>
    <font>
      <b/>
      <sz val="13"/>
      <color theme="6" tint="-0.249977111117893"/>
      <name val="Tahoma"/>
      <family val="2"/>
    </font>
    <font>
      <sz val="13"/>
      <color theme="0"/>
      <name val="Tahoma"/>
      <family val="2"/>
    </font>
    <font>
      <sz val="13"/>
      <color theme="6" tint="-0.499984740745262"/>
      <name val="Tahoma"/>
      <family val="2"/>
    </font>
    <font>
      <b/>
      <sz val="10"/>
      <color rgb="FF0070C0"/>
      <name val="Tahoma"/>
      <family val="2"/>
    </font>
    <font>
      <b/>
      <u/>
      <sz val="10"/>
      <color rgb="FFC00000"/>
      <name val="Tahoma"/>
      <family val="2"/>
    </font>
    <font>
      <sz val="10"/>
      <color theme="0" tint="-0.14999847407452621"/>
      <name val="Tahoma"/>
      <family val="2"/>
    </font>
    <font>
      <sz val="11"/>
      <color theme="0" tint="-0.249977111117893"/>
      <name val="Tahoma"/>
      <family val="2"/>
    </font>
    <font>
      <sz val="8"/>
      <color theme="0" tint="-0.249977111117893"/>
      <name val="Tahoma"/>
      <family val="2"/>
    </font>
    <font>
      <sz val="8"/>
      <color theme="0" tint="-0.14999847407452621"/>
      <name val="Tahoma"/>
      <family val="2"/>
    </font>
    <font>
      <sz val="11"/>
      <color theme="0" tint="-0.14999847407452621"/>
      <name val="Tahoma"/>
      <family val="2"/>
    </font>
    <font>
      <b/>
      <sz val="10"/>
      <color rgb="FFFFFF00"/>
      <name val="Tahoma"/>
      <family val="2"/>
    </font>
    <font>
      <b/>
      <sz val="10"/>
      <color theme="3" tint="-0.249977111117893"/>
      <name val="Tahoma"/>
      <family val="2"/>
    </font>
    <font>
      <sz val="8"/>
      <color rgb="FF002060"/>
      <name val="Tahoma"/>
      <family val="2"/>
    </font>
    <font>
      <b/>
      <sz val="8"/>
      <color rgb="FF002060"/>
      <name val="Tahoma"/>
      <family val="2"/>
    </font>
    <font>
      <sz val="8"/>
      <color theme="0"/>
      <name val="Calibri"/>
      <family val="2"/>
      <scheme val="minor"/>
    </font>
    <font>
      <sz val="8"/>
      <name val="Tahoma"/>
      <family val="2"/>
    </font>
    <font>
      <i/>
      <sz val="11"/>
      <color theme="0"/>
      <name val="Calibri"/>
      <family val="2"/>
      <scheme val="minor"/>
    </font>
    <font>
      <sz val="8"/>
      <name val="Calibri"/>
      <family val="2"/>
      <scheme val="minor"/>
    </font>
    <font>
      <sz val="9"/>
      <color indexed="81"/>
      <name val="Calibri"/>
      <family val="2"/>
      <scheme val="minor"/>
    </font>
    <font>
      <b/>
      <sz val="9"/>
      <color indexed="81"/>
      <name val="Arial"/>
      <family val="2"/>
    </font>
    <font>
      <i/>
      <sz val="11"/>
      <color theme="1"/>
      <name val="Calibri"/>
      <family val="2"/>
      <scheme val="minor"/>
    </font>
    <font>
      <b/>
      <vertAlign val="superscript"/>
      <sz val="14"/>
      <color theme="1"/>
      <name val="Tahoma"/>
      <family val="2"/>
    </font>
    <font>
      <b/>
      <sz val="11"/>
      <color theme="3" tint="-0.249977111117893"/>
      <name val="Calibri"/>
      <family val="2"/>
      <scheme val="minor"/>
    </font>
    <font>
      <sz val="10"/>
      <color theme="4"/>
      <name val="Tahoma"/>
      <family val="2"/>
    </font>
    <font>
      <sz val="10"/>
      <color rgb="FF0070C0"/>
      <name val="Tahoma"/>
      <family val="2"/>
    </font>
    <font>
      <b/>
      <u/>
      <sz val="18"/>
      <color theme="10"/>
      <name val="Calibri"/>
      <family val="2"/>
      <scheme val="minor"/>
    </font>
    <font>
      <sz val="11"/>
      <color theme="1" tint="0.34998626667073579"/>
      <name val="Calibri"/>
      <family val="2"/>
      <scheme val="minor"/>
    </font>
    <font>
      <i/>
      <sz val="10"/>
      <color theme="0"/>
      <name val="Tahoma"/>
      <family val="2"/>
    </font>
  </fonts>
  <fills count="42">
    <fill>
      <patternFill patternType="none"/>
    </fill>
    <fill>
      <patternFill patternType="gray125"/>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3"/>
        <bgColor indexed="64"/>
      </patternFill>
    </fill>
    <fill>
      <patternFill patternType="solid">
        <fgColor rgb="FFFFE9A3"/>
        <bgColor indexed="64"/>
      </patternFill>
    </fill>
    <fill>
      <patternFill patternType="solid">
        <fgColor theme="5" tint="-0.249977111117893"/>
        <bgColor indexed="64"/>
      </patternFill>
    </fill>
    <fill>
      <patternFill patternType="solid">
        <fgColor theme="3" tint="-0.499984740745262"/>
        <bgColor indexed="64"/>
      </patternFill>
    </fill>
    <fill>
      <patternFill patternType="solid">
        <fgColor rgb="FFC00000"/>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FFF9B"/>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bottom/>
      <diagonal/>
    </border>
    <border>
      <left style="thin">
        <color indexed="64"/>
      </left>
      <right style="thin">
        <color indexed="64"/>
      </right>
      <top/>
      <bottom/>
      <diagonal/>
    </border>
    <border>
      <left/>
      <right style="thin">
        <color theme="0"/>
      </right>
      <top/>
      <bottom/>
      <diagonal/>
    </border>
    <border>
      <left style="thin">
        <color theme="0"/>
      </left>
      <right/>
      <top/>
      <bottom/>
      <diagonal/>
    </border>
    <border>
      <left/>
      <right/>
      <top style="thin">
        <color theme="0"/>
      </top>
      <bottom/>
      <diagonal/>
    </border>
    <border>
      <left/>
      <right style="thin">
        <color theme="0"/>
      </right>
      <top style="thin">
        <color theme="0"/>
      </top>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right style="thin">
        <color theme="0"/>
      </right>
      <top/>
      <bottom style="thin">
        <color indexed="64"/>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style="thin">
        <color theme="0"/>
      </top>
      <bottom/>
      <diagonal/>
    </border>
    <border>
      <left style="thin">
        <color theme="0"/>
      </left>
      <right/>
      <top/>
      <bottom style="thin">
        <color theme="0"/>
      </bottom>
      <diagonal/>
    </border>
    <border>
      <left/>
      <right/>
      <top style="thin">
        <color theme="0"/>
      </top>
      <bottom style="thin">
        <color theme="0"/>
      </bottom>
      <diagonal/>
    </border>
    <border>
      <left style="thin">
        <color theme="0" tint="-0.34998626667073579"/>
      </left>
      <right/>
      <top style="thin">
        <color theme="0" tint="-0.34998626667073579"/>
      </top>
      <bottom style="thin">
        <color theme="0" tint="-0.34998626667073579"/>
      </bottom>
      <diagonal/>
    </border>
    <border>
      <left/>
      <right/>
      <top/>
      <bottom style="thin">
        <color theme="0" tint="-0.34998626667073579"/>
      </bottom>
      <diagonal/>
    </border>
    <border>
      <left style="thin">
        <color rgb="FFB2B2B2"/>
      </left>
      <right style="thin">
        <color rgb="FFB2B2B2"/>
      </right>
      <top style="thin">
        <color rgb="FFB2B2B2"/>
      </top>
      <bottom style="thin">
        <color rgb="FFB2B2B2"/>
      </bottom>
      <diagonal/>
    </border>
    <border>
      <left style="thick">
        <color rgb="FFC00000"/>
      </left>
      <right style="thin">
        <color indexed="64"/>
      </right>
      <top style="thick">
        <color rgb="FFC00000"/>
      </top>
      <bottom style="thin">
        <color indexed="64"/>
      </bottom>
      <diagonal/>
    </border>
    <border>
      <left style="thin">
        <color indexed="64"/>
      </left>
      <right style="thick">
        <color rgb="FFC00000"/>
      </right>
      <top style="thick">
        <color rgb="FFC00000"/>
      </top>
      <bottom style="thin">
        <color indexed="64"/>
      </bottom>
      <diagonal/>
    </border>
    <border>
      <left/>
      <right/>
      <top/>
      <bottom style="medium">
        <color indexed="64"/>
      </bottom>
      <diagonal/>
    </border>
    <border>
      <left/>
      <right/>
      <top style="thin">
        <color theme="0" tint="-0.34998626667073579"/>
      </top>
      <bottom style="medium">
        <color indexed="64"/>
      </bottom>
      <diagonal/>
    </border>
    <border>
      <left style="thin">
        <color theme="0"/>
      </left>
      <right/>
      <top style="thin">
        <color theme="0"/>
      </top>
      <bottom style="thin">
        <color theme="0"/>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thick">
        <color rgb="FFC00000"/>
      </left>
      <right style="thin">
        <color indexed="64"/>
      </right>
      <top style="thin">
        <color indexed="64"/>
      </top>
      <bottom style="thin">
        <color indexed="64"/>
      </bottom>
      <diagonal/>
    </border>
    <border>
      <left style="thin">
        <color indexed="64"/>
      </left>
      <right style="thick">
        <color rgb="FFC00000"/>
      </right>
      <top style="thin">
        <color indexed="64"/>
      </top>
      <bottom style="thin">
        <color indexed="64"/>
      </bottom>
      <diagonal/>
    </border>
    <border>
      <left style="thick">
        <color rgb="FFC00000"/>
      </left>
      <right/>
      <top style="thin">
        <color indexed="64"/>
      </top>
      <bottom style="thick">
        <color rgb="FFC00000"/>
      </bottom>
      <diagonal/>
    </border>
    <border>
      <left/>
      <right style="thick">
        <color rgb="FFC00000"/>
      </right>
      <top style="thin">
        <color indexed="64"/>
      </top>
      <bottom style="thick">
        <color rgb="FFC0000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left>
      <right/>
      <top/>
      <bottom style="medium">
        <color indexed="64"/>
      </bottom>
      <diagonal/>
    </border>
    <border>
      <left style="thin">
        <color indexed="64"/>
      </left>
      <right style="thin">
        <color indexed="64"/>
      </right>
      <top style="hair">
        <color indexed="64"/>
      </top>
      <bottom style="thin">
        <color indexed="64"/>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top style="thin">
        <color indexed="64"/>
      </top>
      <bottom/>
      <diagonal/>
    </border>
    <border>
      <left style="thin">
        <color indexed="64"/>
      </left>
      <right/>
      <top style="thin">
        <color theme="0"/>
      </top>
      <bottom/>
      <diagonal/>
    </border>
    <border>
      <left style="thin">
        <color indexed="64"/>
      </left>
      <right/>
      <top/>
      <bottom style="thin">
        <color indexed="64"/>
      </bottom>
      <diagonal/>
    </border>
    <border>
      <left/>
      <right/>
      <top style="dotted">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theme="0" tint="-0.24994659260841701"/>
      </bottom>
      <diagonal/>
    </border>
    <border>
      <left/>
      <right/>
      <top style="thin">
        <color theme="0" tint="-0.14996795556505021"/>
      </top>
      <bottom style="thin">
        <color theme="0" tint="-0.14996795556505021"/>
      </bottom>
      <diagonal/>
    </border>
    <border>
      <left style="thin">
        <color theme="0"/>
      </left>
      <right style="thin">
        <color theme="0"/>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style="thin">
        <color theme="0" tint="-0.24994659260841701"/>
      </top>
      <bottom/>
      <diagonal/>
    </border>
    <border>
      <left style="thin">
        <color indexed="64"/>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right style="thick">
        <color rgb="FFC00000"/>
      </right>
      <top style="dotted">
        <color indexed="64"/>
      </top>
      <bottom style="dotted">
        <color theme="1" tint="0.24994659260841701"/>
      </bottom>
      <diagonal/>
    </border>
    <border>
      <left/>
      <right/>
      <top style="thin">
        <color theme="0" tint="-0.14993743705557422"/>
      </top>
      <bottom style="thin">
        <color theme="0" tint="-0.14993743705557422"/>
      </bottom>
      <diagonal/>
    </border>
    <border>
      <left/>
      <right/>
      <top style="thin">
        <color theme="0" tint="-0.14996795556505021"/>
      </top>
      <bottom/>
      <diagonal/>
    </border>
    <border>
      <left/>
      <right/>
      <top/>
      <bottom style="thin">
        <color theme="0" tint="-0.14996795556505021"/>
      </bottom>
      <diagonal/>
    </border>
    <border>
      <left/>
      <right style="medium">
        <color theme="6" tint="0.39994506668294322"/>
      </right>
      <top/>
      <bottom/>
      <diagonal/>
    </border>
    <border>
      <left style="thin">
        <color indexed="64"/>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left>
      <right/>
      <top style="thin">
        <color theme="0"/>
      </top>
      <bottom style="thin">
        <color theme="0" tint="-0.24994659260841701"/>
      </bottom>
      <diagonal/>
    </border>
    <border>
      <left/>
      <right/>
      <top style="thin">
        <color theme="0"/>
      </top>
      <bottom style="thin">
        <color theme="0" tint="-0.24994659260841701"/>
      </bottom>
      <diagonal/>
    </border>
    <border>
      <left/>
      <right style="thin">
        <color theme="0"/>
      </right>
      <top style="thin">
        <color theme="0"/>
      </top>
      <bottom style="thin">
        <color theme="0" tint="-0.24994659260841701"/>
      </bottom>
      <diagonal/>
    </border>
    <border>
      <left/>
      <right/>
      <top style="thin">
        <color theme="0" tint="-0.14996795556505021"/>
      </top>
      <bottom style="thin">
        <color theme="0" tint="-0.14993743705557422"/>
      </bottom>
      <diagonal/>
    </border>
  </borders>
  <cellStyleXfs count="32">
    <xf numFmtId="0" fontId="0" fillId="0" borderId="0"/>
    <xf numFmtId="0" fontId="37" fillId="0" borderId="0" applyNumberFormat="0" applyFill="0" applyBorder="0" applyAlignment="0" applyProtection="0"/>
    <xf numFmtId="0" fontId="56" fillId="0" borderId="0"/>
    <xf numFmtId="0" fontId="50" fillId="16" borderId="0" applyNumberFormat="0" applyBorder="0" applyAlignment="0" applyProtection="0"/>
    <xf numFmtId="0" fontId="50" fillId="8" borderId="0" applyNumberFormat="0" applyBorder="0" applyAlignment="0" applyProtection="0"/>
    <xf numFmtId="0" fontId="50" fillId="17" borderId="0" applyNumberFormat="0" applyBorder="0" applyAlignment="0" applyProtection="0"/>
    <xf numFmtId="0" fontId="50" fillId="9" borderId="0" applyNumberFormat="0" applyBorder="0" applyAlignment="0" applyProtection="0"/>
    <xf numFmtId="0" fontId="50" fillId="18" borderId="0" applyNumberFormat="0" applyBorder="0" applyAlignment="0" applyProtection="0"/>
    <xf numFmtId="0" fontId="50" fillId="10" borderId="0" applyNumberFormat="0" applyBorder="0" applyAlignment="0" applyProtection="0"/>
    <xf numFmtId="0" fontId="50" fillId="19" borderId="0" applyNumberFormat="0" applyBorder="0" applyAlignment="0" applyProtection="0"/>
    <xf numFmtId="0" fontId="50" fillId="13" borderId="0" applyNumberFormat="0" applyBorder="0" applyAlignment="0" applyProtection="0"/>
    <xf numFmtId="0" fontId="50" fillId="20" borderId="0" applyNumberFormat="0" applyBorder="0" applyAlignment="0" applyProtection="0"/>
    <xf numFmtId="0" fontId="50" fillId="11" borderId="0" applyNumberFormat="0" applyBorder="0" applyAlignment="0" applyProtection="0"/>
    <xf numFmtId="0" fontId="40" fillId="20" borderId="0" applyNumberFormat="0" applyBorder="0" applyAlignment="0" applyProtection="0"/>
    <xf numFmtId="0" fontId="40" fillId="12" borderId="0" applyNumberFormat="0" applyBorder="0" applyAlignment="0" applyProtection="0"/>
    <xf numFmtId="0" fontId="40" fillId="21" borderId="0" applyNumberFormat="0" applyBorder="0" applyAlignment="0" applyProtection="0"/>
    <xf numFmtId="0" fontId="40" fillId="14" borderId="0" applyNumberFormat="0" applyBorder="0" applyAlignment="0" applyProtection="0"/>
    <xf numFmtId="0" fontId="40" fillId="22" borderId="0" applyNumberFormat="0" applyBorder="0" applyAlignment="0" applyProtection="0"/>
    <xf numFmtId="0" fontId="40" fillId="15" borderId="0" applyNumberFormat="0" applyBorder="0" applyAlignment="0" applyProtection="0"/>
    <xf numFmtId="0" fontId="57" fillId="7" borderId="28" applyNumberFormat="0" applyFont="0" applyAlignment="0" applyProtection="0"/>
    <xf numFmtId="0" fontId="50" fillId="7" borderId="28" applyNumberFormat="0" applyFont="0" applyAlignment="0" applyProtection="0"/>
    <xf numFmtId="0" fontId="50" fillId="0" borderId="0"/>
    <xf numFmtId="0" fontId="58" fillId="0" borderId="0"/>
    <xf numFmtId="0" fontId="50" fillId="0" borderId="0"/>
    <xf numFmtId="0" fontId="50" fillId="0" borderId="0"/>
    <xf numFmtId="0" fontId="50" fillId="0" borderId="0"/>
    <xf numFmtId="0" fontId="58" fillId="0" borderId="0"/>
    <xf numFmtId="0" fontId="50" fillId="0" borderId="0"/>
    <xf numFmtId="0" fontId="58" fillId="0" borderId="0" applyNumberFormat="0" applyFont="0" applyFill="0" applyBorder="0" applyAlignment="0" applyProtection="0"/>
    <xf numFmtId="0" fontId="58" fillId="0" borderId="0" applyNumberFormat="0" applyFont="0" applyFill="0" applyBorder="0" applyAlignment="0" applyProtection="0"/>
    <xf numFmtId="0" fontId="58" fillId="0" borderId="0" applyNumberFormat="0" applyFont="0" applyFill="0" applyBorder="0" applyAlignment="0" applyProtection="0"/>
    <xf numFmtId="0" fontId="50" fillId="0" borderId="0"/>
  </cellStyleXfs>
  <cellXfs count="1076">
    <xf numFmtId="0" fontId="0" fillId="0" borderId="0" xfId="0"/>
    <xf numFmtId="0" fontId="33" fillId="0" borderId="0" xfId="0" applyFont="1"/>
    <xf numFmtId="0" fontId="32" fillId="0" borderId="0" xfId="0" applyFont="1"/>
    <xf numFmtId="0" fontId="39" fillId="4" borderId="8" xfId="0" applyFont="1" applyFill="1" applyBorder="1" applyProtection="1"/>
    <xf numFmtId="0" fontId="39" fillId="0" borderId="8" xfId="0" applyFont="1" applyBorder="1" applyProtection="1">
      <protection hidden="1"/>
    </xf>
    <xf numFmtId="0" fontId="39" fillId="0" borderId="14" xfId="0" applyFont="1" applyBorder="1" applyProtection="1">
      <protection hidden="1"/>
    </xf>
    <xf numFmtId="0" fontId="39" fillId="0" borderId="0" xfId="0" applyFont="1" applyBorder="1" applyProtection="1">
      <protection hidden="1"/>
    </xf>
    <xf numFmtId="0" fontId="39" fillId="0" borderId="9" xfId="0" applyFont="1" applyBorder="1" applyProtection="1">
      <protection hidden="1"/>
    </xf>
    <xf numFmtId="0" fontId="39" fillId="4" borderId="8" xfId="0" applyFont="1" applyFill="1" applyBorder="1" applyProtection="1">
      <protection hidden="1"/>
    </xf>
    <xf numFmtId="0" fontId="39" fillId="4" borderId="0" xfId="0" applyFont="1" applyFill="1" applyBorder="1" applyAlignment="1" applyProtection="1">
      <alignment horizontal="left" vertical="center" wrapText="1"/>
      <protection hidden="1"/>
    </xf>
    <xf numFmtId="0" fontId="39" fillId="0" borderId="0" xfId="2" applyFont="1"/>
    <xf numFmtId="0" fontId="47" fillId="0" borderId="0" xfId="2" applyFont="1"/>
    <xf numFmtId="0" fontId="33" fillId="4" borderId="0" xfId="0" applyFont="1" applyFill="1" applyBorder="1" applyProtection="1">
      <protection hidden="1"/>
    </xf>
    <xf numFmtId="0" fontId="44" fillId="4" borderId="0" xfId="0" applyFont="1" applyFill="1" applyBorder="1" applyProtection="1">
      <protection hidden="1"/>
    </xf>
    <xf numFmtId="0" fontId="39" fillId="4" borderId="11" xfId="0" applyFont="1" applyFill="1" applyBorder="1" applyProtection="1"/>
    <xf numFmtId="0" fontId="39" fillId="4" borderId="8" xfId="0" applyFont="1" applyFill="1" applyBorder="1" applyAlignment="1" applyProtection="1">
      <alignment vertical="center"/>
      <protection hidden="1"/>
    </xf>
    <xf numFmtId="0" fontId="39" fillId="4" borderId="8" xfId="0" applyFont="1" applyFill="1" applyBorder="1" applyAlignment="1" applyProtection="1">
      <alignment horizontal="left" vertical="center"/>
      <protection hidden="1"/>
    </xf>
    <xf numFmtId="0" fontId="39" fillId="0" borderId="8" xfId="0" applyFont="1" applyBorder="1" applyAlignment="1" applyProtection="1">
      <alignment vertical="center"/>
      <protection hidden="1"/>
    </xf>
    <xf numFmtId="0" fontId="39" fillId="4" borderId="9" xfId="0" applyFont="1" applyFill="1" applyBorder="1" applyAlignment="1" applyProtection="1">
      <alignment vertical="center"/>
      <protection hidden="1"/>
    </xf>
    <xf numFmtId="0" fontId="59" fillId="0" borderId="0" xfId="0" applyFont="1"/>
    <xf numFmtId="0" fontId="39" fillId="0" borderId="9" xfId="0" applyFont="1" applyBorder="1" applyAlignment="1" applyProtection="1">
      <alignment vertical="center"/>
      <protection hidden="1"/>
    </xf>
    <xf numFmtId="0" fontId="39" fillId="4" borderId="21" xfId="0" applyFont="1" applyFill="1" applyBorder="1" applyAlignment="1" applyProtection="1">
      <alignment vertical="center"/>
      <protection hidden="1"/>
    </xf>
    <xf numFmtId="0" fontId="39" fillId="0" borderId="33" xfId="0" applyFont="1" applyBorder="1" applyAlignment="1" applyProtection="1">
      <alignment vertical="center"/>
      <protection hidden="1"/>
    </xf>
    <xf numFmtId="0" fontId="41" fillId="0" borderId="34" xfId="0" applyFont="1" applyBorder="1" applyAlignment="1" applyProtection="1">
      <alignment vertical="center"/>
      <protection hidden="1"/>
    </xf>
    <xf numFmtId="0" fontId="64" fillId="2" borderId="35" xfId="0" applyFont="1" applyFill="1" applyBorder="1" applyAlignment="1" applyProtection="1">
      <alignment horizontal="left" vertical="center" wrapText="1" indent="3"/>
      <protection hidden="1"/>
    </xf>
    <xf numFmtId="0" fontId="64" fillId="2" borderId="36" xfId="0" applyFont="1" applyFill="1" applyBorder="1" applyAlignment="1" applyProtection="1">
      <alignment horizontal="left" vertical="center" wrapText="1" indent="3"/>
      <protection hidden="1"/>
    </xf>
    <xf numFmtId="0" fontId="64" fillId="2" borderId="37" xfId="0" applyFont="1" applyFill="1" applyBorder="1" applyAlignment="1" applyProtection="1">
      <alignment horizontal="left" vertical="center" wrapText="1" indent="3"/>
      <protection hidden="1"/>
    </xf>
    <xf numFmtId="0" fontId="39" fillId="4" borderId="33" xfId="0" applyFont="1" applyFill="1" applyBorder="1" applyProtection="1">
      <protection hidden="1"/>
    </xf>
    <xf numFmtId="0" fontId="39" fillId="0" borderId="18" xfId="0" applyFont="1" applyBorder="1" applyProtection="1">
      <protection hidden="1"/>
    </xf>
    <xf numFmtId="0" fontId="46" fillId="0" borderId="8" xfId="0" applyFont="1" applyBorder="1" applyProtection="1">
      <protection hidden="1"/>
    </xf>
    <xf numFmtId="0" fontId="59" fillId="4" borderId="0" xfId="0" applyFont="1" applyFill="1" applyAlignment="1" applyProtection="1">
      <alignment horizontal="center"/>
      <protection hidden="1"/>
    </xf>
    <xf numFmtId="0" fontId="33" fillId="4" borderId="8" xfId="0" applyFont="1" applyFill="1" applyBorder="1" applyProtection="1">
      <protection hidden="1"/>
    </xf>
    <xf numFmtId="0" fontId="39" fillId="0" borderId="13" xfId="0" applyFont="1" applyBorder="1" applyProtection="1">
      <protection hidden="1"/>
    </xf>
    <xf numFmtId="0" fontId="44" fillId="4" borderId="9" xfId="0" applyFont="1" applyFill="1" applyBorder="1" applyAlignment="1" applyProtection="1">
      <alignment horizontal="left" vertical="center" indent="8"/>
      <protection hidden="1"/>
    </xf>
    <xf numFmtId="0" fontId="33" fillId="4" borderId="0" xfId="0" applyFont="1" applyFill="1" applyAlignment="1" applyProtection="1">
      <alignment horizontal="left" indent="1"/>
      <protection hidden="1"/>
    </xf>
    <xf numFmtId="0" fontId="33" fillId="4" borderId="0" xfId="0" applyFont="1" applyFill="1" applyProtection="1">
      <protection hidden="1"/>
    </xf>
    <xf numFmtId="0" fontId="31" fillId="4" borderId="0" xfId="0" applyFont="1" applyFill="1" applyAlignment="1" applyProtection="1">
      <alignment horizontal="left" wrapText="1" indent="1"/>
      <protection hidden="1"/>
    </xf>
    <xf numFmtId="0" fontId="71" fillId="4" borderId="0" xfId="0" applyFont="1" applyFill="1" applyProtection="1">
      <protection hidden="1"/>
    </xf>
    <xf numFmtId="0" fontId="31" fillId="4" borderId="0" xfId="0" applyFont="1" applyFill="1" applyAlignment="1" applyProtection="1">
      <alignment horizontal="left" indent="1"/>
      <protection hidden="1"/>
    </xf>
    <xf numFmtId="0" fontId="31" fillId="4" borderId="0" xfId="0" applyFont="1" applyFill="1" applyProtection="1">
      <protection hidden="1"/>
    </xf>
    <xf numFmtId="0" fontId="31" fillId="4" borderId="0" xfId="0" applyFont="1" applyFill="1" applyBorder="1" applyProtection="1">
      <protection hidden="1"/>
    </xf>
    <xf numFmtId="0" fontId="31" fillId="4" borderId="0" xfId="0" applyFont="1" applyFill="1" applyBorder="1" applyAlignment="1" applyProtection="1">
      <alignment horizontal="left" indent="1"/>
      <protection hidden="1"/>
    </xf>
    <xf numFmtId="0" fontId="55" fillId="4" borderId="0" xfId="0" applyFont="1" applyFill="1" applyAlignment="1" applyProtection="1">
      <alignment horizontal="left" indent="1"/>
      <protection hidden="1"/>
    </xf>
    <xf numFmtId="0" fontId="31" fillId="4" borderId="0" xfId="0" applyFont="1" applyFill="1" applyAlignment="1" applyProtection="1">
      <alignment horizontal="left" indent="2"/>
      <protection hidden="1"/>
    </xf>
    <xf numFmtId="0" fontId="31" fillId="4" borderId="0" xfId="0" applyFont="1" applyFill="1" applyAlignment="1" applyProtection="1">
      <alignment horizontal="center"/>
      <protection hidden="1"/>
    </xf>
    <xf numFmtId="0" fontId="55" fillId="4" borderId="0" xfId="0" applyFont="1" applyFill="1" applyAlignment="1" applyProtection="1">
      <alignment horizontal="center"/>
      <protection hidden="1"/>
    </xf>
    <xf numFmtId="0" fontId="31" fillId="4" borderId="0" xfId="0" applyFont="1" applyFill="1" applyAlignment="1" applyProtection="1">
      <alignment wrapText="1"/>
      <protection hidden="1"/>
    </xf>
    <xf numFmtId="0" fontId="31" fillId="4" borderId="0" xfId="0" applyFont="1" applyFill="1" applyAlignment="1" applyProtection="1">
      <alignment horizontal="center" vertical="center"/>
      <protection hidden="1"/>
    </xf>
    <xf numFmtId="0" fontId="31" fillId="4" borderId="42" xfId="0" applyFont="1" applyFill="1" applyBorder="1" applyAlignment="1" applyProtection="1">
      <alignment horizontal="left" vertical="center" wrapText="1"/>
      <protection hidden="1"/>
    </xf>
    <xf numFmtId="0" fontId="31" fillId="4" borderId="0" xfId="0" applyFont="1" applyFill="1" applyAlignment="1" applyProtection="1">
      <alignment vertical="center"/>
      <protection hidden="1"/>
    </xf>
    <xf numFmtId="0" fontId="55" fillId="4" borderId="0" xfId="0" applyFont="1" applyFill="1" applyAlignment="1" applyProtection="1">
      <alignment horizontal="center" vertical="center"/>
      <protection hidden="1"/>
    </xf>
    <xf numFmtId="0" fontId="31" fillId="4" borderId="42" xfId="0" applyFont="1" applyFill="1" applyBorder="1" applyAlignment="1" applyProtection="1">
      <alignment vertical="center"/>
      <protection hidden="1"/>
    </xf>
    <xf numFmtId="0" fontId="31" fillId="4" borderId="42" xfId="0" applyFont="1" applyFill="1" applyBorder="1" applyAlignment="1" applyProtection="1">
      <alignment horizontal="left" vertical="center" indent="1"/>
      <protection hidden="1"/>
    </xf>
    <xf numFmtId="0" fontId="31" fillId="4" borderId="42" xfId="0" applyFont="1" applyFill="1" applyBorder="1" applyAlignment="1" applyProtection="1">
      <alignment horizontal="left" vertical="center" wrapText="1" indent="1"/>
      <protection hidden="1"/>
    </xf>
    <xf numFmtId="0" fontId="33" fillId="4" borderId="0" xfId="0" applyFont="1" applyFill="1" applyAlignment="1" applyProtection="1">
      <alignment horizontal="left" wrapText="1" indent="2"/>
      <protection hidden="1"/>
    </xf>
    <xf numFmtId="0" fontId="47" fillId="5" borderId="0" xfId="0" applyFont="1" applyFill="1" applyAlignment="1" applyProtection="1">
      <alignment horizontal="center" vertical="center"/>
      <protection hidden="1"/>
    </xf>
    <xf numFmtId="0" fontId="31" fillId="23" borderId="0" xfId="0" applyFont="1" applyFill="1" applyAlignment="1" applyProtection="1">
      <alignment vertical="center"/>
      <protection hidden="1"/>
    </xf>
    <xf numFmtId="0" fontId="47" fillId="24" borderId="0" xfId="0" applyFont="1" applyFill="1" applyAlignment="1" applyProtection="1">
      <alignment horizontal="center" vertical="center"/>
      <protection hidden="1"/>
    </xf>
    <xf numFmtId="0" fontId="72" fillId="24" borderId="0" xfId="0" applyFont="1" applyFill="1" applyAlignment="1" applyProtection="1">
      <alignment horizontal="left" vertical="center"/>
      <protection hidden="1"/>
    </xf>
    <xf numFmtId="0" fontId="68" fillId="24" borderId="0" xfId="0" applyFont="1" applyFill="1" applyAlignment="1" applyProtection="1">
      <alignment horizontal="center" vertical="center"/>
      <protection hidden="1"/>
    </xf>
    <xf numFmtId="14" fontId="31" fillId="4" borderId="42" xfId="0" applyNumberFormat="1" applyFont="1" applyFill="1" applyBorder="1" applyAlignment="1" applyProtection="1">
      <alignment horizontal="left" vertical="center" wrapText="1" indent="1"/>
      <protection hidden="1"/>
    </xf>
    <xf numFmtId="0" fontId="29" fillId="0" borderId="8" xfId="0" applyFont="1" applyBorder="1" applyProtection="1">
      <protection hidden="1"/>
    </xf>
    <xf numFmtId="0" fontId="29" fillId="4" borderId="0" xfId="0" applyFont="1" applyFill="1" applyBorder="1" applyAlignment="1" applyProtection="1">
      <alignment horizontal="left"/>
      <protection hidden="1"/>
    </xf>
    <xf numFmtId="0" fontId="29" fillId="4" borderId="8" xfId="0" applyFont="1" applyFill="1" applyBorder="1" applyAlignment="1" applyProtection="1">
      <alignment vertical="center"/>
      <protection hidden="1"/>
    </xf>
    <xf numFmtId="0" fontId="29" fillId="0" borderId="8" xfId="0" applyFont="1" applyBorder="1" applyAlignment="1" applyProtection="1">
      <alignment vertical="center"/>
      <protection hidden="1"/>
    </xf>
    <xf numFmtId="0" fontId="29" fillId="4" borderId="9" xfId="0" applyFont="1" applyFill="1" applyBorder="1" applyAlignment="1" applyProtection="1">
      <alignment vertical="center"/>
      <protection hidden="1"/>
    </xf>
    <xf numFmtId="0" fontId="29" fillId="4" borderId="23" xfId="0" applyFont="1" applyFill="1" applyBorder="1" applyAlignment="1" applyProtection="1">
      <alignment vertical="center"/>
      <protection hidden="1"/>
    </xf>
    <xf numFmtId="0" fontId="29" fillId="4" borderId="14" xfId="0" applyFont="1" applyFill="1" applyBorder="1" applyAlignment="1" applyProtection="1">
      <alignment vertical="center"/>
      <protection hidden="1"/>
    </xf>
    <xf numFmtId="0" fontId="29" fillId="0" borderId="9" xfId="0" applyFont="1" applyBorder="1" applyAlignment="1" applyProtection="1">
      <alignment vertical="center"/>
      <protection hidden="1"/>
    </xf>
    <xf numFmtId="0" fontId="71" fillId="4" borderId="0" xfId="0" applyNumberFormat="1" applyFont="1" applyFill="1" applyAlignment="1" applyProtection="1">
      <alignment horizontal="left" indent="1"/>
      <protection hidden="1"/>
    </xf>
    <xf numFmtId="0" fontId="29" fillId="4" borderId="42" xfId="0" applyNumberFormat="1" applyFont="1" applyFill="1" applyBorder="1" applyAlignment="1" applyProtection="1">
      <alignment horizontal="left" vertical="center" wrapText="1" indent="1"/>
      <protection hidden="1"/>
    </xf>
    <xf numFmtId="0" fontId="31" fillId="4" borderId="0" xfId="0" applyNumberFormat="1" applyFont="1" applyFill="1" applyAlignment="1" applyProtection="1">
      <alignment horizontal="left" indent="3"/>
      <protection hidden="1"/>
    </xf>
    <xf numFmtId="0" fontId="55" fillId="4" borderId="0" xfId="0" applyNumberFormat="1" applyFont="1" applyFill="1" applyAlignment="1" applyProtection="1">
      <alignment horizontal="left" indent="2"/>
      <protection hidden="1"/>
    </xf>
    <xf numFmtId="0" fontId="73" fillId="0" borderId="34" xfId="0" applyFont="1" applyBorder="1" applyAlignment="1" applyProtection="1">
      <alignment horizontal="left" vertical="center" wrapText="1" indent="1"/>
      <protection hidden="1"/>
    </xf>
    <xf numFmtId="0" fontId="29" fillId="0" borderId="10" xfId="0" applyFont="1" applyBorder="1" applyProtection="1">
      <protection hidden="1"/>
    </xf>
    <xf numFmtId="49" fontId="31" fillId="4" borderId="0" xfId="0" applyNumberFormat="1" applyFont="1" applyFill="1" applyBorder="1" applyAlignment="1" applyProtection="1">
      <alignment horizontal="left" vertical="center" indent="1"/>
      <protection hidden="1"/>
    </xf>
    <xf numFmtId="0" fontId="28" fillId="4" borderId="42" xfId="0" applyFont="1" applyFill="1" applyBorder="1" applyAlignment="1" applyProtection="1">
      <alignment vertical="center" wrapText="1"/>
      <protection hidden="1"/>
    </xf>
    <xf numFmtId="0" fontId="66" fillId="0" borderId="10" xfId="0" applyFont="1" applyBorder="1" applyAlignment="1" applyProtection="1">
      <alignment vertical="center"/>
      <protection hidden="1"/>
    </xf>
    <xf numFmtId="0" fontId="62" fillId="0" borderId="8" xfId="0" applyFont="1" applyBorder="1" applyAlignment="1" applyProtection="1">
      <alignment vertical="center"/>
      <protection hidden="1"/>
    </xf>
    <xf numFmtId="0" fontId="75" fillId="4" borderId="9" xfId="0" applyFont="1" applyFill="1" applyBorder="1" applyAlignment="1" applyProtection="1">
      <alignment horizontal="left" vertical="center" indent="8"/>
      <protection hidden="1"/>
    </xf>
    <xf numFmtId="0" fontId="27" fillId="0" borderId="8" xfId="0" applyFont="1" applyBorder="1" applyProtection="1">
      <protection hidden="1"/>
    </xf>
    <xf numFmtId="0" fontId="27" fillId="4" borderId="42" xfId="0" applyNumberFormat="1" applyFont="1" applyFill="1" applyBorder="1" applyAlignment="1" applyProtection="1">
      <alignment horizontal="left" vertical="center" indent="1"/>
      <protection hidden="1"/>
    </xf>
    <xf numFmtId="0" fontId="27" fillId="0" borderId="9" xfId="0" applyFont="1" applyBorder="1" applyProtection="1">
      <protection hidden="1"/>
    </xf>
    <xf numFmtId="0" fontId="27" fillId="6" borderId="5" xfId="0" applyFont="1" applyFill="1" applyBorder="1" applyAlignment="1" applyProtection="1">
      <alignment horizontal="left" vertical="center" wrapText="1" indent="3"/>
      <protection hidden="1"/>
    </xf>
    <xf numFmtId="0" fontId="27" fillId="4" borderId="0" xfId="0" applyFont="1" applyFill="1" applyBorder="1" applyAlignment="1" applyProtection="1">
      <alignment horizontal="left" vertical="center" wrapText="1"/>
      <protection hidden="1"/>
    </xf>
    <xf numFmtId="0" fontId="33" fillId="4" borderId="33" xfId="0" applyFont="1" applyFill="1" applyBorder="1" applyAlignment="1" applyProtection="1">
      <alignment horizontal="left" indent="1"/>
      <protection hidden="1"/>
    </xf>
    <xf numFmtId="0" fontId="38" fillId="4" borderId="0" xfId="0" applyFont="1" applyFill="1" applyBorder="1" applyProtection="1">
      <protection hidden="1"/>
    </xf>
    <xf numFmtId="0" fontId="38" fillId="4" borderId="10" xfId="0" applyFont="1" applyFill="1" applyBorder="1" applyProtection="1">
      <protection hidden="1"/>
    </xf>
    <xf numFmtId="0" fontId="41" fillId="4" borderId="0" xfId="0" applyFont="1" applyFill="1" applyBorder="1" applyAlignment="1" applyProtection="1">
      <alignment horizontal="left" vertical="center" wrapText="1"/>
      <protection hidden="1"/>
    </xf>
    <xf numFmtId="0" fontId="63" fillId="4" borderId="15" xfId="0" applyFont="1" applyFill="1" applyBorder="1" applyAlignment="1" applyProtection="1">
      <alignment vertical="center" wrapText="1"/>
      <protection hidden="1"/>
    </xf>
    <xf numFmtId="0" fontId="64" fillId="2" borderId="50" xfId="0" applyFont="1" applyFill="1" applyBorder="1" applyAlignment="1" applyProtection="1">
      <alignment horizontal="left" vertical="center" wrapText="1" indent="3"/>
      <protection hidden="1"/>
    </xf>
    <xf numFmtId="0" fontId="27" fillId="0" borderId="24" xfId="0" applyFont="1" applyBorder="1" applyProtection="1">
      <protection hidden="1"/>
    </xf>
    <xf numFmtId="0" fontId="27" fillId="0" borderId="10" xfId="0" applyFont="1" applyBorder="1" applyProtection="1">
      <protection hidden="1"/>
    </xf>
    <xf numFmtId="0" fontId="39" fillId="4" borderId="33" xfId="0" applyFont="1" applyFill="1" applyBorder="1" applyAlignment="1" applyProtection="1">
      <alignment vertical="center"/>
      <protection hidden="1"/>
    </xf>
    <xf numFmtId="0" fontId="39" fillId="4" borderId="0" xfId="0" applyFont="1" applyFill="1" applyBorder="1" applyAlignment="1" applyProtection="1">
      <alignment horizontal="left" indent="1"/>
      <protection hidden="1"/>
    </xf>
    <xf numFmtId="0" fontId="74" fillId="6" borderId="1" xfId="0" applyFont="1" applyFill="1" applyBorder="1" applyAlignment="1" applyProtection="1">
      <alignment horizontal="left" vertical="center" wrapText="1" indent="1"/>
      <protection hidden="1"/>
    </xf>
    <xf numFmtId="0" fontId="29" fillId="0" borderId="14" xfId="0" applyFont="1" applyBorder="1" applyAlignment="1" applyProtection="1">
      <alignment vertical="center"/>
      <protection hidden="1"/>
    </xf>
    <xf numFmtId="0" fontId="25" fillId="2" borderId="36" xfId="0" applyFont="1" applyFill="1" applyBorder="1" applyAlignment="1" applyProtection="1">
      <alignment horizontal="left" vertical="center" wrapText="1" indent="3"/>
      <protection hidden="1"/>
    </xf>
    <xf numFmtId="0" fontId="0" fillId="0" borderId="0" xfId="0" applyFont="1"/>
    <xf numFmtId="0" fontId="0" fillId="0" borderId="0" xfId="0" applyAlignment="1">
      <alignment horizontal="left"/>
    </xf>
    <xf numFmtId="0" fontId="0" fillId="0" borderId="51" xfId="0" applyBorder="1"/>
    <xf numFmtId="0" fontId="0" fillId="0" borderId="52" xfId="0" applyBorder="1" applyAlignment="1">
      <alignment horizontal="left"/>
    </xf>
    <xf numFmtId="0" fontId="0" fillId="0" borderId="52" xfId="0" applyBorder="1"/>
    <xf numFmtId="0" fontId="0" fillId="0" borderId="53" xfId="0" applyBorder="1"/>
    <xf numFmtId="0" fontId="0" fillId="0" borderId="54" xfId="0" applyBorder="1"/>
    <xf numFmtId="0" fontId="0" fillId="28" borderId="0" xfId="0" applyFill="1" applyBorder="1" applyAlignment="1">
      <alignment horizontal="left"/>
    </xf>
    <xf numFmtId="0" fontId="81" fillId="0" borderId="0" xfId="0" applyFont="1" applyBorder="1" applyAlignment="1">
      <alignment wrapText="1"/>
    </xf>
    <xf numFmtId="0" fontId="81" fillId="0" borderId="55" xfId="0" applyFont="1" applyBorder="1" applyAlignment="1">
      <alignment wrapText="1"/>
    </xf>
    <xf numFmtId="0" fontId="0" fillId="0" borderId="0" xfId="0" applyBorder="1" applyAlignment="1">
      <alignment horizontal="left"/>
    </xf>
    <xf numFmtId="0" fontId="0" fillId="0" borderId="0" xfId="0" applyBorder="1"/>
    <xf numFmtId="0" fontId="0" fillId="0" borderId="55" xfId="0" applyBorder="1"/>
    <xf numFmtId="0" fontId="0" fillId="28" borderId="54" xfId="0" applyFill="1" applyBorder="1"/>
    <xf numFmtId="0" fontId="0" fillId="0" borderId="31" xfId="0" applyBorder="1" applyAlignment="1">
      <alignment horizontal="left"/>
    </xf>
    <xf numFmtId="0" fontId="0" fillId="0" borderId="31" xfId="0" applyBorder="1"/>
    <xf numFmtId="0" fontId="0" fillId="0" borderId="57" xfId="0" applyBorder="1"/>
    <xf numFmtId="0" fontId="23" fillId="4" borderId="42" xfId="0" applyNumberFormat="1" applyFont="1" applyFill="1" applyBorder="1" applyAlignment="1" applyProtection="1">
      <alignment horizontal="left" vertical="center" wrapText="1" indent="1"/>
      <protection hidden="1"/>
    </xf>
    <xf numFmtId="0" fontId="31" fillId="4" borderId="0" xfId="0" applyNumberFormat="1" applyFont="1" applyFill="1" applyAlignment="1" applyProtection="1">
      <alignment horizontal="left" indent="1"/>
      <protection hidden="1"/>
    </xf>
    <xf numFmtId="0" fontId="46" fillId="4" borderId="0" xfId="0" applyFont="1" applyFill="1" applyAlignment="1" applyProtection="1">
      <alignment horizontal="left" indent="1"/>
      <protection hidden="1"/>
    </xf>
    <xf numFmtId="0" fontId="41" fillId="0" borderId="10" xfId="0" applyFont="1" applyBorder="1" applyAlignment="1" applyProtection="1">
      <alignment horizontal="left" indent="1"/>
      <protection hidden="1"/>
    </xf>
    <xf numFmtId="0" fontId="33" fillId="4" borderId="0" xfId="0" applyFont="1" applyFill="1" applyBorder="1" applyAlignment="1" applyProtection="1">
      <alignment horizontal="left" indent="1"/>
      <protection hidden="1"/>
    </xf>
    <xf numFmtId="0" fontId="35" fillId="0" borderId="0" xfId="0" applyNumberFormat="1" applyFont="1" applyFill="1" applyBorder="1" applyAlignment="1" applyProtection="1">
      <alignment horizontal="left" indent="1"/>
      <protection hidden="1"/>
    </xf>
    <xf numFmtId="0" fontId="33" fillId="4" borderId="11" xfId="0" applyFont="1" applyFill="1" applyBorder="1" applyAlignment="1" applyProtection="1">
      <alignment horizontal="left" indent="1"/>
      <protection hidden="1"/>
    </xf>
    <xf numFmtId="0" fontId="33" fillId="4" borderId="13" xfId="0" applyFont="1" applyFill="1" applyBorder="1" applyAlignment="1" applyProtection="1">
      <alignment horizontal="left" indent="1"/>
      <protection hidden="1"/>
    </xf>
    <xf numFmtId="0" fontId="41" fillId="0" borderId="0" xfId="0" applyFont="1" applyFill="1" applyBorder="1" applyAlignment="1" applyProtection="1">
      <alignment horizontal="left" indent="1"/>
      <protection hidden="1"/>
    </xf>
    <xf numFmtId="0" fontId="41" fillId="0" borderId="10" xfId="0" applyFont="1" applyBorder="1" applyAlignment="1" applyProtection="1">
      <alignment horizontal="left" indent="2"/>
      <protection hidden="1"/>
    </xf>
    <xf numFmtId="0" fontId="41" fillId="4" borderId="0" xfId="0" applyFont="1" applyFill="1" applyBorder="1" applyAlignment="1" applyProtection="1">
      <alignment horizontal="left" indent="2"/>
      <protection hidden="1"/>
    </xf>
    <xf numFmtId="0" fontId="35" fillId="4" borderId="0" xfId="0" applyFont="1" applyFill="1" applyAlignment="1" applyProtection="1">
      <alignment horizontal="left" wrapText="1" indent="2"/>
      <protection hidden="1"/>
    </xf>
    <xf numFmtId="0" fontId="82" fillId="4" borderId="0" xfId="1" applyFont="1" applyFill="1" applyAlignment="1" applyProtection="1">
      <alignment horizontal="left" wrapText="1" indent="2"/>
      <protection hidden="1"/>
    </xf>
    <xf numFmtId="0" fontId="31" fillId="4" borderId="42" xfId="0" applyFont="1" applyFill="1" applyBorder="1" applyAlignment="1" applyProtection="1">
      <alignment horizontal="left" vertical="center" wrapText="1" indent="2"/>
      <protection hidden="1"/>
    </xf>
    <xf numFmtId="0" fontId="22" fillId="0" borderId="0" xfId="0" applyFont="1" applyBorder="1" applyProtection="1">
      <protection hidden="1"/>
    </xf>
    <xf numFmtId="0" fontId="22" fillId="0" borderId="8" xfId="0" applyFont="1" applyBorder="1" applyProtection="1">
      <protection hidden="1"/>
    </xf>
    <xf numFmtId="0" fontId="22" fillId="0" borderId="9" xfId="0" applyFont="1" applyBorder="1" applyProtection="1">
      <protection hidden="1"/>
    </xf>
    <xf numFmtId="0" fontId="46" fillId="4" borderId="48" xfId="0" applyFont="1" applyFill="1" applyBorder="1" applyAlignment="1" applyProtection="1">
      <alignment horizontal="left" vertical="center" wrapText="1" indent="1"/>
      <protection hidden="1"/>
    </xf>
    <xf numFmtId="0" fontId="46" fillId="4" borderId="48" xfId="0" applyFont="1" applyFill="1" applyBorder="1" applyAlignment="1" applyProtection="1">
      <alignment vertical="center" wrapText="1"/>
      <protection hidden="1"/>
    </xf>
    <xf numFmtId="0" fontId="0" fillId="30" borderId="0" xfId="0" applyFill="1"/>
    <xf numFmtId="0" fontId="83" fillId="27" borderId="1" xfId="0" applyFont="1" applyFill="1" applyBorder="1" applyAlignment="1" applyProtection="1">
      <alignment horizontal="left" vertical="center" wrapText="1"/>
      <protection hidden="1"/>
    </xf>
    <xf numFmtId="0" fontId="84" fillId="27" borderId="1" xfId="0" applyFont="1" applyFill="1" applyBorder="1" applyAlignment="1" applyProtection="1">
      <alignment horizontal="left" vertical="center" wrapText="1"/>
      <protection hidden="1"/>
    </xf>
    <xf numFmtId="0" fontId="81" fillId="31" borderId="0" xfId="0" applyFont="1" applyFill="1"/>
    <xf numFmtId="0" fontId="81" fillId="26" borderId="0" xfId="0" applyFont="1" applyFill="1"/>
    <xf numFmtId="0" fontId="0" fillId="28" borderId="56" xfId="0" applyFill="1" applyBorder="1"/>
    <xf numFmtId="0" fontId="0" fillId="5" borderId="0" xfId="0" applyFill="1"/>
    <xf numFmtId="0" fontId="0" fillId="28" borderId="0" xfId="0" applyFill="1" applyBorder="1"/>
    <xf numFmtId="0" fontId="0" fillId="0" borderId="0" xfId="0" applyFill="1" applyBorder="1"/>
    <xf numFmtId="0" fontId="0" fillId="0" borderId="31" xfId="0" applyFont="1" applyBorder="1"/>
    <xf numFmtId="0" fontId="0" fillId="0" borderId="0" xfId="0" applyFont="1" applyFill="1" applyBorder="1"/>
    <xf numFmtId="0" fontId="0" fillId="0" borderId="31" xfId="0" applyFill="1" applyBorder="1"/>
    <xf numFmtId="0" fontId="0" fillId="0" borderId="31" xfId="0" applyFont="1" applyFill="1" applyBorder="1"/>
    <xf numFmtId="0" fontId="66" fillId="4" borderId="60" xfId="0" applyFont="1" applyFill="1" applyBorder="1" applyAlignment="1" applyProtection="1">
      <alignment vertical="top" wrapText="1"/>
      <protection hidden="1"/>
    </xf>
    <xf numFmtId="0" fontId="66" fillId="4" borderId="11" xfId="0" applyFont="1" applyFill="1" applyBorder="1" applyAlignment="1" applyProtection="1">
      <alignment vertical="top" wrapText="1"/>
      <protection hidden="1"/>
    </xf>
    <xf numFmtId="0" fontId="66" fillId="4" borderId="9" xfId="0" applyFont="1" applyFill="1" applyBorder="1" applyAlignment="1" applyProtection="1">
      <alignment vertical="top" wrapText="1"/>
      <protection hidden="1"/>
    </xf>
    <xf numFmtId="0" fontId="19" fillId="4" borderId="8" xfId="0" applyFont="1" applyFill="1" applyBorder="1" applyProtection="1"/>
    <xf numFmtId="0" fontId="19" fillId="4" borderId="11" xfId="0" applyFont="1" applyFill="1" applyBorder="1" applyProtection="1"/>
    <xf numFmtId="0" fontId="19" fillId="4" borderId="9" xfId="0" applyFont="1" applyFill="1" applyBorder="1" applyProtection="1"/>
    <xf numFmtId="0" fontId="19" fillId="4" borderId="8" xfId="0" applyFont="1" applyFill="1" applyBorder="1" applyProtection="1">
      <protection hidden="1"/>
    </xf>
    <xf numFmtId="0" fontId="19" fillId="4" borderId="10" xfId="0" applyFont="1" applyFill="1" applyBorder="1" applyProtection="1">
      <protection hidden="1"/>
    </xf>
    <xf numFmtId="0" fontId="39" fillId="0" borderId="0" xfId="0" applyFont="1" applyBorder="1" applyProtection="1"/>
    <xf numFmtId="0" fontId="29" fillId="0" borderId="21" xfId="0" applyFont="1" applyBorder="1" applyProtection="1"/>
    <xf numFmtId="0" fontId="29" fillId="0" borderId="0" xfId="0" applyFont="1" applyBorder="1" applyProtection="1"/>
    <xf numFmtId="0" fontId="29" fillId="0" borderId="8" xfId="0" applyFont="1" applyBorder="1" applyProtection="1"/>
    <xf numFmtId="0" fontId="39" fillId="0" borderId="8" xfId="0" applyFont="1" applyBorder="1" applyProtection="1"/>
    <xf numFmtId="0" fontId="29" fillId="0" borderId="16" xfId="0" applyFont="1" applyBorder="1" applyProtection="1"/>
    <xf numFmtId="0" fontId="52" fillId="4" borderId="0" xfId="0" applyFont="1" applyFill="1" applyBorder="1" applyAlignment="1" applyProtection="1">
      <alignment horizontal="left" vertical="center" indent="2"/>
    </xf>
    <xf numFmtId="0" fontId="29" fillId="4" borderId="21" xfId="0" applyFont="1" applyFill="1" applyBorder="1" applyProtection="1"/>
    <xf numFmtId="0" fontId="29" fillId="4" borderId="8" xfId="0" applyFont="1" applyFill="1" applyBorder="1" applyProtection="1"/>
    <xf numFmtId="0" fontId="49" fillId="4" borderId="0" xfId="0" applyFont="1" applyFill="1" applyBorder="1" applyAlignment="1" applyProtection="1">
      <alignment horizontal="left"/>
    </xf>
    <xf numFmtId="0" fontId="29" fillId="4" borderId="11" xfId="0" applyFont="1" applyFill="1" applyBorder="1" applyProtection="1"/>
    <xf numFmtId="0" fontId="39" fillId="0" borderId="14" xfId="0" applyFont="1" applyBorder="1" applyProtection="1"/>
    <xf numFmtId="0" fontId="39" fillId="4" borderId="31" xfId="0" applyFont="1" applyFill="1" applyBorder="1" applyAlignment="1" applyProtection="1">
      <alignment horizontal="left"/>
    </xf>
    <xf numFmtId="0" fontId="55" fillId="4" borderId="44" xfId="0" applyFont="1" applyFill="1" applyBorder="1" applyAlignment="1" applyProtection="1">
      <alignment vertical="center"/>
    </xf>
    <xf numFmtId="0" fontId="29" fillId="4" borderId="13" xfId="0" applyFont="1" applyFill="1" applyBorder="1" applyAlignment="1" applyProtection="1">
      <alignment vertical="center"/>
    </xf>
    <xf numFmtId="0" fontId="29" fillId="4" borderId="0" xfId="0" applyFont="1" applyFill="1" applyBorder="1" applyAlignment="1" applyProtection="1">
      <alignment horizontal="left"/>
    </xf>
    <xf numFmtId="0" fontId="29" fillId="4" borderId="9" xfId="0" applyFont="1" applyFill="1" applyBorder="1" applyAlignment="1" applyProtection="1">
      <alignment horizontal="left"/>
    </xf>
    <xf numFmtId="0" fontId="29" fillId="4" borderId="8" xfId="0" applyFont="1" applyFill="1" applyBorder="1" applyAlignment="1" applyProtection="1">
      <alignment horizontal="left"/>
    </xf>
    <xf numFmtId="0" fontId="39" fillId="4" borderId="8" xfId="0" applyFont="1" applyFill="1" applyBorder="1" applyAlignment="1" applyProtection="1">
      <alignment horizontal="left"/>
    </xf>
    <xf numFmtId="0" fontId="51" fillId="6" borderId="9" xfId="0" applyFont="1" applyFill="1" applyBorder="1" applyAlignment="1" applyProtection="1">
      <alignment horizontal="right" vertical="center" indent="1"/>
    </xf>
    <xf numFmtId="0" fontId="27" fillId="3" borderId="0" xfId="0" applyNumberFormat="1" applyFont="1" applyFill="1" applyBorder="1" applyAlignment="1" applyProtection="1">
      <alignment horizontal="left" vertical="center" wrapText="1"/>
    </xf>
    <xf numFmtId="0" fontId="43" fillId="4" borderId="0" xfId="0" applyFont="1" applyFill="1" applyBorder="1" applyAlignment="1" applyProtection="1"/>
    <xf numFmtId="0" fontId="29" fillId="4" borderId="0" xfId="0" applyFont="1" applyFill="1" applyBorder="1" applyAlignment="1" applyProtection="1">
      <alignment horizontal="left" vertical="center" wrapText="1"/>
    </xf>
    <xf numFmtId="0" fontId="46" fillId="4" borderId="27" xfId="0" applyFont="1" applyFill="1" applyBorder="1" applyProtection="1"/>
    <xf numFmtId="0" fontId="77" fillId="4" borderId="0" xfId="0" applyFont="1" applyFill="1" applyBorder="1" applyAlignment="1" applyProtection="1">
      <alignment horizontal="left" indent="3"/>
    </xf>
    <xf numFmtId="0" fontId="44" fillId="4" borderId="0" xfId="0" applyFont="1" applyFill="1" applyBorder="1" applyAlignment="1" applyProtection="1">
      <alignment horizontal="left"/>
    </xf>
    <xf numFmtId="0" fontId="29" fillId="4" borderId="10" xfId="0" applyFont="1" applyFill="1" applyBorder="1" applyAlignment="1" applyProtection="1">
      <alignment horizontal="left"/>
    </xf>
    <xf numFmtId="0" fontId="27" fillId="5" borderId="22" xfId="0" applyFont="1" applyFill="1" applyBorder="1" applyAlignment="1" applyProtection="1">
      <alignment horizontal="right" indent="1"/>
    </xf>
    <xf numFmtId="0" fontId="46" fillId="24" borderId="26" xfId="0" applyFont="1" applyFill="1" applyBorder="1" applyAlignment="1" applyProtection="1">
      <alignment horizontal="left"/>
    </xf>
    <xf numFmtId="0" fontId="72" fillId="4" borderId="8" xfId="0" applyFont="1" applyFill="1" applyBorder="1" applyProtection="1"/>
    <xf numFmtId="0" fontId="72" fillId="4" borderId="0" xfId="0" applyFont="1" applyFill="1" applyBorder="1" applyAlignment="1" applyProtection="1">
      <alignment horizontal="left" indent="1"/>
    </xf>
    <xf numFmtId="0" fontId="72" fillId="4" borderId="0" xfId="0" applyFont="1" applyFill="1" applyBorder="1" applyAlignment="1" applyProtection="1">
      <alignment horizontal="left"/>
    </xf>
    <xf numFmtId="0" fontId="39" fillId="4" borderId="22" xfId="0" applyFont="1" applyFill="1" applyBorder="1" applyAlignment="1" applyProtection="1">
      <alignment horizontal="right" indent="1"/>
    </xf>
    <xf numFmtId="0" fontId="30" fillId="4" borderId="26" xfId="0" applyFont="1" applyFill="1" applyBorder="1" applyAlignment="1" applyProtection="1">
      <alignment horizontal="left"/>
      <protection locked="0"/>
    </xf>
    <xf numFmtId="0" fontId="72" fillId="4" borderId="0" xfId="0" applyFont="1" applyFill="1" applyBorder="1" applyProtection="1"/>
    <xf numFmtId="0" fontId="88" fillId="4" borderId="0" xfId="0" applyFont="1" applyFill="1" applyBorder="1" applyProtection="1"/>
    <xf numFmtId="0" fontId="88" fillId="4" borderId="0" xfId="0" applyFont="1" applyFill="1" applyBorder="1" applyAlignment="1" applyProtection="1">
      <alignment horizontal="left"/>
    </xf>
    <xf numFmtId="0" fontId="26" fillId="4" borderId="26" xfId="0" applyFont="1" applyFill="1" applyBorder="1" applyAlignment="1" applyProtection="1">
      <alignment horizontal="left"/>
      <protection locked="0"/>
    </xf>
    <xf numFmtId="0" fontId="72" fillId="4" borderId="0" xfId="0" applyFont="1" applyFill="1" applyBorder="1" applyAlignment="1" applyProtection="1"/>
    <xf numFmtId="0" fontId="72" fillId="4" borderId="10" xfId="0" applyFont="1" applyFill="1" applyBorder="1" applyProtection="1"/>
    <xf numFmtId="0" fontId="21" fillId="4" borderId="22" xfId="0" applyFont="1" applyFill="1" applyBorder="1" applyAlignment="1" applyProtection="1">
      <alignment horizontal="right" vertical="center" wrapText="1" indent="1"/>
    </xf>
    <xf numFmtId="49" fontId="26" fillId="4" borderId="26" xfId="0" applyNumberFormat="1" applyFont="1" applyFill="1" applyBorder="1" applyAlignment="1" applyProtection="1">
      <alignment horizontal="left" vertical="center" wrapText="1"/>
      <protection locked="0"/>
    </xf>
    <xf numFmtId="0" fontId="72" fillId="4" borderId="0" xfId="0" applyFont="1" applyFill="1" applyBorder="1" applyAlignment="1" applyProtection="1">
      <alignment wrapText="1"/>
    </xf>
    <xf numFmtId="164" fontId="26" fillId="4" borderId="26" xfId="0" applyNumberFormat="1" applyFont="1" applyFill="1" applyBorder="1" applyAlignment="1" applyProtection="1">
      <alignment horizontal="left" wrapText="1"/>
      <protection locked="0"/>
    </xf>
    <xf numFmtId="0" fontId="24" fillId="4" borderId="22" xfId="0" applyFont="1" applyFill="1" applyBorder="1" applyAlignment="1" applyProtection="1">
      <alignment horizontal="right" indent="1"/>
    </xf>
    <xf numFmtId="0" fontId="37" fillId="4" borderId="26" xfId="1" applyFill="1" applyBorder="1" applyAlignment="1" applyProtection="1">
      <alignment horizontal="left"/>
      <protection locked="0"/>
    </xf>
    <xf numFmtId="0" fontId="39" fillId="4" borderId="32" xfId="0" applyFont="1" applyFill="1" applyBorder="1" applyAlignment="1" applyProtection="1">
      <alignment horizontal="left"/>
    </xf>
    <xf numFmtId="0" fontId="69" fillId="4" borderId="32" xfId="1" applyFont="1" applyFill="1" applyBorder="1" applyAlignment="1" applyProtection="1">
      <alignment vertical="top" wrapText="1"/>
    </xf>
    <xf numFmtId="0" fontId="77" fillId="4" borderId="0" xfId="0" applyFont="1" applyFill="1" applyBorder="1" applyAlignment="1" applyProtection="1">
      <alignment horizontal="left"/>
    </xf>
    <xf numFmtId="0" fontId="29" fillId="4" borderId="0" xfId="0" applyFont="1" applyFill="1" applyBorder="1" applyAlignment="1" applyProtection="1">
      <alignment horizontal="left" indent="3"/>
    </xf>
    <xf numFmtId="0" fontId="29" fillId="4" borderId="0" xfId="0" applyFont="1" applyFill="1" applyBorder="1" applyAlignment="1" applyProtection="1">
      <alignment horizontal="left" indent="1"/>
    </xf>
    <xf numFmtId="0" fontId="39" fillId="4" borderId="22" xfId="0" applyFont="1" applyFill="1" applyBorder="1" applyAlignment="1" applyProtection="1">
      <alignment horizontal="right" vertical="center" indent="1"/>
    </xf>
    <xf numFmtId="0" fontId="31" fillId="4" borderId="26" xfId="0" applyFont="1" applyFill="1" applyBorder="1" applyAlignment="1" applyProtection="1">
      <alignment horizontal="left" vertical="center"/>
      <protection locked="0"/>
    </xf>
    <xf numFmtId="0" fontId="88" fillId="4" borderId="8" xfId="0" applyFont="1" applyFill="1" applyBorder="1" applyProtection="1"/>
    <xf numFmtId="0" fontId="26" fillId="4" borderId="26" xfId="0" applyFont="1" applyFill="1" applyBorder="1" applyAlignment="1" applyProtection="1">
      <alignment horizontal="left" vertical="center"/>
      <protection locked="0"/>
    </xf>
    <xf numFmtId="0" fontId="25" fillId="4" borderId="22" xfId="0" applyFont="1" applyFill="1" applyBorder="1" applyAlignment="1" applyProtection="1">
      <alignment horizontal="right" vertical="center" wrapText="1" indent="1"/>
    </xf>
    <xf numFmtId="0" fontId="24" fillId="4" borderId="22" xfId="0" applyFont="1" applyFill="1" applyBorder="1" applyAlignment="1" applyProtection="1">
      <alignment horizontal="right" vertical="center" indent="1"/>
    </xf>
    <xf numFmtId="0" fontId="37" fillId="4" borderId="26" xfId="1" applyFill="1" applyBorder="1" applyAlignment="1" applyProtection="1">
      <alignment horizontal="left" vertical="center"/>
      <protection locked="0"/>
    </xf>
    <xf numFmtId="0" fontId="19" fillId="4" borderId="0" xfId="0" applyFont="1" applyFill="1" applyBorder="1" applyProtection="1"/>
    <xf numFmtId="0" fontId="85" fillId="4" borderId="0" xfId="1" applyFont="1" applyFill="1" applyBorder="1" applyAlignment="1" applyProtection="1">
      <alignment vertical="top" wrapText="1"/>
    </xf>
    <xf numFmtId="0" fontId="19" fillId="4" borderId="13" xfId="0" applyFont="1" applyFill="1" applyBorder="1" applyProtection="1"/>
    <xf numFmtId="0" fontId="33" fillId="4" borderId="8" xfId="0" applyFont="1" applyFill="1" applyBorder="1" applyAlignment="1" applyProtection="1">
      <alignment vertical="center"/>
    </xf>
    <xf numFmtId="0" fontId="33" fillId="4" borderId="0" xfId="0" applyFont="1" applyFill="1" applyBorder="1" applyAlignment="1" applyProtection="1">
      <alignment vertical="center"/>
    </xf>
    <xf numFmtId="0" fontId="33" fillId="4" borderId="10" xfId="0" applyFont="1" applyFill="1" applyBorder="1" applyAlignment="1" applyProtection="1">
      <alignment vertical="center"/>
    </xf>
    <xf numFmtId="0" fontId="19" fillId="4" borderId="0" xfId="0" applyFont="1" applyFill="1" applyBorder="1" applyAlignment="1" applyProtection="1">
      <alignment vertical="center"/>
    </xf>
    <xf numFmtId="0" fontId="19" fillId="0" borderId="8" xfId="0" applyFont="1" applyBorder="1" applyProtection="1"/>
    <xf numFmtId="0" fontId="19" fillId="0" borderId="0" xfId="0" applyFont="1" applyBorder="1" applyProtection="1"/>
    <xf numFmtId="0" fontId="19" fillId="0" borderId="21" xfId="0" applyFont="1" applyBorder="1" applyProtection="1"/>
    <xf numFmtId="0" fontId="19" fillId="0" borderId="33" xfId="0" applyFont="1" applyBorder="1" applyAlignment="1" applyProtection="1">
      <alignment horizontal="left" vertical="center" indent="5"/>
    </xf>
    <xf numFmtId="0" fontId="19" fillId="0" borderId="33" xfId="0" applyFont="1" applyBorder="1" applyProtection="1"/>
    <xf numFmtId="0" fontId="19" fillId="4" borderId="0" xfId="0" applyFont="1" applyFill="1" applyBorder="1" applyAlignment="1" applyProtection="1">
      <alignment horizontal="left" vertical="center"/>
    </xf>
    <xf numFmtId="0" fontId="19" fillId="0" borderId="11" xfId="0" applyFont="1" applyBorder="1" applyProtection="1"/>
    <xf numFmtId="0" fontId="31" fillId="4" borderId="0" xfId="0" applyFont="1" applyFill="1" applyBorder="1" applyAlignment="1" applyProtection="1">
      <alignment horizontal="left" vertical="center" wrapText="1"/>
      <protection hidden="1"/>
    </xf>
    <xf numFmtId="0" fontId="18" fillId="4" borderId="42" xfId="0" applyFont="1" applyFill="1" applyBorder="1" applyAlignment="1" applyProtection="1">
      <alignment vertical="center"/>
      <protection hidden="1"/>
    </xf>
    <xf numFmtId="0" fontId="35" fillId="0" borderId="8" xfId="0" applyFont="1" applyBorder="1" applyAlignment="1" applyProtection="1">
      <alignment vertical="center"/>
    </xf>
    <xf numFmtId="0" fontId="33" fillId="0" borderId="0" xfId="0" applyFont="1" applyBorder="1" applyProtection="1">
      <protection hidden="1"/>
    </xf>
    <xf numFmtId="0" fontId="33" fillId="0" borderId="8" xfId="0" applyFont="1" applyBorder="1" applyProtection="1">
      <protection hidden="1"/>
    </xf>
    <xf numFmtId="0" fontId="35" fillId="0" borderId="8" xfId="0" applyFont="1" applyBorder="1" applyProtection="1">
      <protection hidden="1"/>
    </xf>
    <xf numFmtId="0" fontId="42" fillId="0" borderId="8" xfId="0" applyFont="1" applyBorder="1" applyAlignment="1" applyProtection="1">
      <alignment horizontal="left" vertical="top"/>
      <protection hidden="1"/>
    </xf>
    <xf numFmtId="0" fontId="41" fillId="0" borderId="8" xfId="0" applyFont="1" applyBorder="1" applyAlignment="1" applyProtection="1">
      <alignment horizontal="left" vertical="center" indent="1"/>
      <protection hidden="1"/>
    </xf>
    <xf numFmtId="0" fontId="35" fillId="0" borderId="8" xfId="0" applyFont="1" applyFill="1" applyBorder="1" applyAlignment="1" applyProtection="1">
      <protection hidden="1"/>
    </xf>
    <xf numFmtId="0" fontId="33" fillId="0" borderId="8" xfId="0" applyFont="1" applyFill="1" applyBorder="1" applyAlignment="1" applyProtection="1">
      <protection hidden="1"/>
    </xf>
    <xf numFmtId="0" fontId="45" fillId="5" borderId="12" xfId="0" applyFont="1" applyFill="1" applyBorder="1" applyAlignment="1" applyProtection="1">
      <alignment horizontal="right" vertical="center" indent="1"/>
      <protection hidden="1"/>
    </xf>
    <xf numFmtId="0" fontId="42" fillId="0" borderId="10" xfId="0" applyFont="1" applyBorder="1" applyAlignment="1" applyProtection="1">
      <alignment horizontal="left" indent="1"/>
      <protection hidden="1"/>
    </xf>
    <xf numFmtId="0" fontId="74" fillId="0" borderId="8" xfId="0" applyFont="1" applyFill="1" applyBorder="1" applyProtection="1">
      <protection hidden="1"/>
    </xf>
    <xf numFmtId="0" fontId="35" fillId="0" borderId="8" xfId="0" applyFont="1" applyFill="1" applyBorder="1" applyProtection="1">
      <protection hidden="1"/>
    </xf>
    <xf numFmtId="0" fontId="45" fillId="5" borderId="6" xfId="0" applyFont="1" applyFill="1" applyBorder="1" applyAlignment="1" applyProtection="1">
      <alignment horizontal="right" vertical="center" indent="1"/>
      <protection hidden="1"/>
    </xf>
    <xf numFmtId="0" fontId="45" fillId="0" borderId="6" xfId="0" applyFont="1" applyBorder="1" applyAlignment="1" applyProtection="1">
      <alignment horizontal="left" vertical="center" indent="1"/>
      <protection locked="0" hidden="1"/>
    </xf>
    <xf numFmtId="0" fontId="67" fillId="0" borderId="10" xfId="0" applyFont="1" applyBorder="1" applyAlignment="1" applyProtection="1">
      <alignment horizontal="left" indent="1"/>
      <protection hidden="1"/>
    </xf>
    <xf numFmtId="0" fontId="89" fillId="0" borderId="10" xfId="0" applyFont="1" applyBorder="1" applyAlignment="1" applyProtection="1">
      <alignment horizontal="left" indent="1"/>
      <protection hidden="1"/>
    </xf>
    <xf numFmtId="0" fontId="45" fillId="5" borderId="6" xfId="0" applyFont="1" applyFill="1" applyBorder="1" applyAlignment="1" applyProtection="1">
      <alignment horizontal="right" vertical="center" wrapText="1" indent="1"/>
      <protection hidden="1"/>
    </xf>
    <xf numFmtId="0" fontId="91" fillId="0" borderId="8" xfId="1" applyFont="1" applyFill="1" applyBorder="1" applyAlignment="1" applyProtection="1">
      <alignment vertical="center"/>
      <protection hidden="1"/>
    </xf>
    <xf numFmtId="0" fontId="45" fillId="5" borderId="4" xfId="0" applyFont="1" applyFill="1" applyBorder="1" applyAlignment="1" applyProtection="1">
      <alignment horizontal="right" vertical="center" wrapText="1"/>
      <protection hidden="1"/>
    </xf>
    <xf numFmtId="0" fontId="45" fillId="0" borderId="4" xfId="0" applyFont="1" applyBorder="1" applyAlignment="1" applyProtection="1">
      <alignment horizontal="left" vertical="center" indent="1"/>
      <protection locked="0" hidden="1"/>
    </xf>
    <xf numFmtId="0" fontId="35" fillId="0" borderId="8" xfId="0" applyFont="1" applyBorder="1" applyAlignment="1" applyProtection="1">
      <alignment vertical="center"/>
      <protection hidden="1"/>
    </xf>
    <xf numFmtId="0" fontId="33" fillId="0" borderId="8" xfId="0" applyFont="1" applyBorder="1" applyAlignment="1" applyProtection="1">
      <alignment vertical="center"/>
      <protection hidden="1"/>
    </xf>
    <xf numFmtId="0" fontId="33" fillId="0" borderId="11" xfId="0" applyFont="1" applyBorder="1" applyProtection="1">
      <protection hidden="1"/>
    </xf>
    <xf numFmtId="0" fontId="35" fillId="0" borderId="8" xfId="0" applyFont="1" applyFill="1" applyBorder="1" applyAlignment="1" applyProtection="1">
      <alignment vertical="center"/>
      <protection hidden="1"/>
    </xf>
    <xf numFmtId="0" fontId="45" fillId="0" borderId="10" xfId="0" applyFont="1" applyFill="1" applyBorder="1" applyAlignment="1" applyProtection="1">
      <alignment horizontal="left" wrapText="1" indent="1"/>
      <protection hidden="1"/>
    </xf>
    <xf numFmtId="0" fontId="45" fillId="5" borderId="6" xfId="0" applyFont="1" applyFill="1" applyBorder="1" applyAlignment="1" applyProtection="1">
      <alignment horizontal="right" indent="1"/>
      <protection hidden="1"/>
    </xf>
    <xf numFmtId="0" fontId="41" fillId="0" borderId="10" xfId="0" applyFont="1" applyBorder="1" applyAlignment="1" applyProtection="1">
      <alignment horizontal="left" vertical="center" indent="1"/>
      <protection hidden="1"/>
    </xf>
    <xf numFmtId="0" fontId="74" fillId="0" borderId="8" xfId="0" applyFont="1" applyFill="1" applyBorder="1" applyAlignment="1" applyProtection="1">
      <alignment vertical="center"/>
      <protection hidden="1"/>
    </xf>
    <xf numFmtId="0" fontId="45" fillId="5" borderId="45" xfId="0" applyFont="1" applyFill="1" applyBorder="1" applyAlignment="1" applyProtection="1">
      <alignment horizontal="right" indent="1"/>
      <protection hidden="1"/>
    </xf>
    <xf numFmtId="0" fontId="41" fillId="0" borderId="18" xfId="0" applyFont="1" applyBorder="1" applyAlignment="1" applyProtection="1">
      <alignment horizontal="left" vertical="center" indent="1"/>
      <protection hidden="1"/>
    </xf>
    <xf numFmtId="0" fontId="33" fillId="0" borderId="9" xfId="0" applyFont="1" applyBorder="1" applyProtection="1">
      <protection hidden="1"/>
    </xf>
    <xf numFmtId="0" fontId="35" fillId="4" borderId="21" xfId="0" applyFont="1" applyFill="1" applyBorder="1" applyProtection="1">
      <protection hidden="1"/>
    </xf>
    <xf numFmtId="0" fontId="74" fillId="4" borderId="0" xfId="0" applyFont="1" applyFill="1" applyBorder="1" applyAlignment="1" applyProtection="1">
      <alignment horizontal="right" indent="1"/>
      <protection hidden="1"/>
    </xf>
    <xf numFmtId="2" fontId="79" fillId="0" borderId="0" xfId="0" applyNumberFormat="1" applyFont="1" applyFill="1" applyBorder="1" applyProtection="1">
      <protection hidden="1"/>
    </xf>
    <xf numFmtId="0" fontId="78" fillId="0" borderId="0" xfId="0" applyFont="1" applyFill="1" applyBorder="1" applyAlignment="1" applyProtection="1">
      <alignment vertical="top"/>
      <protection hidden="1"/>
    </xf>
    <xf numFmtId="0" fontId="33" fillId="0" borderId="10" xfId="0" applyFont="1" applyBorder="1" applyProtection="1">
      <protection hidden="1"/>
    </xf>
    <xf numFmtId="0" fontId="78" fillId="4" borderId="0" xfId="0" applyFont="1" applyFill="1" applyBorder="1" applyAlignment="1" applyProtection="1">
      <alignment vertical="top"/>
      <protection hidden="1"/>
    </xf>
    <xf numFmtId="0" fontId="74" fillId="0" borderId="10" xfId="0" applyFont="1" applyFill="1" applyBorder="1" applyAlignment="1" applyProtection="1">
      <alignment horizontal="left" vertical="center"/>
      <protection hidden="1"/>
    </xf>
    <xf numFmtId="0" fontId="41" fillId="4" borderId="0" xfId="0" applyFont="1" applyFill="1" applyBorder="1" applyAlignment="1" applyProtection="1">
      <alignment horizontal="left" vertical="center" indent="4"/>
      <protection hidden="1"/>
    </xf>
    <xf numFmtId="0" fontId="33" fillId="4" borderId="20" xfId="0" applyFont="1" applyFill="1" applyBorder="1" applyAlignment="1" applyProtection="1">
      <alignment horizontal="left" vertical="center" indent="4"/>
      <protection hidden="1"/>
    </xf>
    <xf numFmtId="0" fontId="33" fillId="4" borderId="18" xfId="0" applyFont="1" applyFill="1" applyBorder="1" applyProtection="1">
      <protection hidden="1"/>
    </xf>
    <xf numFmtId="0" fontId="33" fillId="4" borderId="17" xfId="0" applyFont="1" applyFill="1" applyBorder="1" applyAlignment="1" applyProtection="1">
      <alignment horizontal="left" indent="1"/>
      <protection hidden="1"/>
    </xf>
    <xf numFmtId="0" fontId="33" fillId="4" borderId="13" xfId="0" applyFont="1" applyFill="1" applyBorder="1" applyProtection="1">
      <protection hidden="1"/>
    </xf>
    <xf numFmtId="0" fontId="33" fillId="0" borderId="21" xfId="0" applyFont="1" applyBorder="1" applyProtection="1">
      <protection hidden="1"/>
    </xf>
    <xf numFmtId="0" fontId="38" fillId="4" borderId="0" xfId="0" quotePrefix="1" applyFont="1" applyFill="1" applyBorder="1" applyAlignment="1" applyProtection="1">
      <alignment vertical="top" wrapText="1"/>
      <protection hidden="1"/>
    </xf>
    <xf numFmtId="0" fontId="19" fillId="4" borderId="0" xfId="0" quotePrefix="1" applyFont="1" applyFill="1" applyBorder="1" applyAlignment="1" applyProtection="1">
      <alignment vertical="top" wrapText="1"/>
      <protection hidden="1"/>
    </xf>
    <xf numFmtId="0" fontId="33" fillId="4" borderId="10" xfId="0" applyFont="1" applyFill="1" applyBorder="1" applyAlignment="1" applyProtection="1">
      <protection hidden="1"/>
    </xf>
    <xf numFmtId="0" fontId="33" fillId="4" borderId="8" xfId="0" applyFont="1" applyFill="1" applyBorder="1" applyAlignment="1" applyProtection="1">
      <protection hidden="1"/>
    </xf>
    <xf numFmtId="0" fontId="39" fillId="4" borderId="3" xfId="0" applyFont="1" applyFill="1" applyBorder="1" applyAlignment="1" applyProtection="1">
      <alignment horizontal="right" indent="1"/>
      <protection hidden="1"/>
    </xf>
    <xf numFmtId="0" fontId="74" fillId="4" borderId="7" xfId="0" applyFont="1" applyFill="1" applyBorder="1" applyAlignment="1" applyProtection="1">
      <alignment horizontal="left" vertical="center" indent="1"/>
      <protection locked="0" hidden="1"/>
    </xf>
    <xf numFmtId="0" fontId="33" fillId="4" borderId="10" xfId="0" applyFont="1" applyFill="1" applyBorder="1" applyProtection="1">
      <protection hidden="1"/>
    </xf>
    <xf numFmtId="0" fontId="33" fillId="4" borderId="8" xfId="0" applyFont="1" applyFill="1" applyBorder="1" applyAlignment="1" applyProtection="1">
      <alignment horizontal="left" indent="1"/>
      <protection hidden="1"/>
    </xf>
    <xf numFmtId="0" fontId="39" fillId="4" borderId="6" xfId="0" applyFont="1" applyFill="1" applyBorder="1" applyAlignment="1" applyProtection="1">
      <alignment horizontal="right" indent="1"/>
      <protection hidden="1"/>
    </xf>
    <xf numFmtId="0" fontId="23" fillId="4" borderId="6" xfId="0" applyFont="1" applyFill="1" applyBorder="1" applyAlignment="1" applyProtection="1">
      <alignment horizontal="right" indent="1"/>
      <protection hidden="1"/>
    </xf>
    <xf numFmtId="0" fontId="23" fillId="4" borderId="4" xfId="0" applyFont="1" applyFill="1" applyBorder="1" applyAlignment="1" applyProtection="1">
      <alignment horizontal="right" indent="1"/>
      <protection hidden="1"/>
    </xf>
    <xf numFmtId="0" fontId="38" fillId="4" borderId="19" xfId="0" quotePrefix="1" applyFont="1" applyFill="1" applyBorder="1" applyAlignment="1" applyProtection="1">
      <alignment vertical="top" wrapText="1"/>
      <protection hidden="1"/>
    </xf>
    <xf numFmtId="0" fontId="33" fillId="4" borderId="11" xfId="0" applyFont="1" applyFill="1" applyBorder="1" applyProtection="1">
      <protection hidden="1"/>
    </xf>
    <xf numFmtId="0" fontId="33" fillId="4" borderId="14" xfId="0" applyFont="1" applyFill="1" applyBorder="1" applyAlignment="1" applyProtection="1">
      <alignment horizontal="left" indent="1"/>
      <protection hidden="1"/>
    </xf>
    <xf numFmtId="0" fontId="38" fillId="4" borderId="13" xfId="0" applyFont="1" applyFill="1" applyBorder="1" applyProtection="1">
      <protection hidden="1"/>
    </xf>
    <xf numFmtId="0" fontId="19" fillId="4" borderId="11" xfId="0" applyFont="1" applyFill="1" applyBorder="1" applyProtection="1">
      <protection hidden="1"/>
    </xf>
    <xf numFmtId="0" fontId="39" fillId="4" borderId="7" xfId="0" applyFont="1" applyFill="1" applyBorder="1" applyAlignment="1" applyProtection="1">
      <alignment horizontal="left" vertical="center" indent="1"/>
      <protection locked="0" hidden="1"/>
    </xf>
    <xf numFmtId="49" fontId="39" fillId="4" borderId="7" xfId="0" applyNumberFormat="1" applyFont="1" applyFill="1" applyBorder="1" applyAlignment="1" applyProtection="1">
      <alignment horizontal="left" vertical="center" indent="1"/>
      <protection locked="0" hidden="1"/>
    </xf>
    <xf numFmtId="0" fontId="62" fillId="4" borderId="0" xfId="0" quotePrefix="1" applyFont="1" applyFill="1" applyBorder="1" applyAlignment="1" applyProtection="1">
      <alignment horizontal="left" vertical="top" wrapText="1"/>
      <protection hidden="1"/>
    </xf>
    <xf numFmtId="0" fontId="38" fillId="4" borderId="18" xfId="0" applyFont="1" applyFill="1" applyBorder="1" applyProtection="1">
      <protection hidden="1"/>
    </xf>
    <xf numFmtId="0" fontId="19" fillId="4" borderId="9" xfId="0" applyFont="1" applyFill="1" applyBorder="1" applyProtection="1">
      <protection hidden="1"/>
    </xf>
    <xf numFmtId="0" fontId="33" fillId="4" borderId="14" xfId="0" applyFont="1" applyFill="1" applyBorder="1" applyProtection="1">
      <protection hidden="1"/>
    </xf>
    <xf numFmtId="0" fontId="19" fillId="4" borderId="21" xfId="0" applyFont="1" applyFill="1" applyBorder="1" applyProtection="1">
      <protection hidden="1"/>
    </xf>
    <xf numFmtId="0" fontId="39" fillId="4" borderId="4" xfId="0" applyFont="1" applyFill="1" applyBorder="1" applyAlignment="1" applyProtection="1">
      <alignment horizontal="right" indent="1"/>
      <protection hidden="1"/>
    </xf>
    <xf numFmtId="0" fontId="38" fillId="4" borderId="0" xfId="0" applyFont="1" applyFill="1" applyBorder="1" applyAlignment="1" applyProtection="1">
      <protection hidden="1"/>
    </xf>
    <xf numFmtId="0" fontId="19" fillId="4" borderId="9" xfId="0" applyFont="1" applyFill="1" applyBorder="1" applyAlignment="1" applyProtection="1">
      <protection hidden="1"/>
    </xf>
    <xf numFmtId="0" fontId="55" fillId="4" borderId="8" xfId="0" applyFont="1" applyFill="1" applyBorder="1" applyProtection="1">
      <protection hidden="1"/>
    </xf>
    <xf numFmtId="0" fontId="35" fillId="4" borderId="0" xfId="0" applyFont="1" applyFill="1" applyBorder="1" applyAlignment="1" applyProtection="1">
      <alignment vertical="center"/>
    </xf>
    <xf numFmtId="0" fontId="35" fillId="4" borderId="10" xfId="0" applyFont="1" applyFill="1" applyBorder="1" applyAlignment="1" applyProtection="1">
      <alignment vertical="center"/>
    </xf>
    <xf numFmtId="0" fontId="55" fillId="4" borderId="8" xfId="0" applyFont="1" applyFill="1" applyBorder="1" applyAlignment="1" applyProtection="1">
      <alignment vertical="center"/>
    </xf>
    <xf numFmtId="0" fontId="65" fillId="4" borderId="25" xfId="0" applyFont="1" applyFill="1" applyBorder="1" applyAlignment="1" applyProtection="1">
      <alignment vertical="center"/>
    </xf>
    <xf numFmtId="0" fontId="55" fillId="4" borderId="17" xfId="0" applyFont="1" applyFill="1" applyBorder="1" applyAlignment="1" applyProtection="1">
      <alignment vertical="center"/>
    </xf>
    <xf numFmtId="0" fontId="55" fillId="4" borderId="25" xfId="0" applyFont="1" applyFill="1" applyBorder="1" applyAlignment="1" applyProtection="1">
      <alignment vertical="center"/>
    </xf>
    <xf numFmtId="0" fontId="55" fillId="4" borderId="18" xfId="0" applyFont="1" applyFill="1" applyBorder="1" applyAlignment="1" applyProtection="1">
      <alignment vertical="center"/>
    </xf>
    <xf numFmtId="0" fontId="55" fillId="0" borderId="8" xfId="0" applyFont="1" applyBorder="1" applyAlignment="1" applyProtection="1">
      <alignment vertical="center"/>
    </xf>
    <xf numFmtId="0" fontId="65" fillId="4" borderId="15" xfId="0" applyFont="1" applyFill="1" applyBorder="1" applyAlignment="1" applyProtection="1">
      <alignment vertical="center"/>
    </xf>
    <xf numFmtId="0" fontId="65" fillId="4" borderId="16" xfId="0" applyFont="1" applyFill="1" applyBorder="1" applyAlignment="1" applyProtection="1">
      <alignment vertical="center"/>
    </xf>
    <xf numFmtId="0" fontId="55" fillId="0" borderId="8" xfId="0" applyFont="1" applyFill="1" applyBorder="1" applyProtection="1"/>
    <xf numFmtId="0" fontId="90" fillId="4" borderId="0" xfId="0" applyFont="1" applyFill="1" applyBorder="1" applyAlignment="1" applyProtection="1">
      <alignment horizontal="right" vertical="center"/>
    </xf>
    <xf numFmtId="0" fontId="55" fillId="4" borderId="0" xfId="0" applyFont="1" applyFill="1" applyBorder="1" applyAlignment="1" applyProtection="1">
      <alignment horizontal="right" vertical="center"/>
    </xf>
    <xf numFmtId="0" fontId="55" fillId="4" borderId="0" xfId="0" applyFont="1" applyFill="1" applyBorder="1" applyAlignment="1" applyProtection="1">
      <alignment vertical="center"/>
    </xf>
    <xf numFmtId="0" fontId="55" fillId="4" borderId="25" xfId="0" applyFont="1" applyFill="1" applyBorder="1" applyProtection="1"/>
    <xf numFmtId="0" fontId="55" fillId="0" borderId="10" xfId="0" applyFont="1" applyBorder="1" applyProtection="1"/>
    <xf numFmtId="0" fontId="55" fillId="0" borderId="8" xfId="0" applyFont="1" applyBorder="1" applyProtection="1"/>
    <xf numFmtId="0" fontId="55" fillId="0" borderId="9" xfId="0" applyFont="1" applyBorder="1" applyProtection="1"/>
    <xf numFmtId="0" fontId="90" fillId="4" borderId="24" xfId="0" applyFont="1" applyFill="1" applyBorder="1" applyAlignment="1" applyProtection="1"/>
    <xf numFmtId="0" fontId="51" fillId="4" borderId="17" xfId="0" applyFont="1" applyFill="1" applyBorder="1" applyAlignment="1" applyProtection="1"/>
    <xf numFmtId="0" fontId="51" fillId="4" borderId="25" xfId="0" applyFont="1" applyFill="1" applyBorder="1" applyAlignment="1" applyProtection="1"/>
    <xf numFmtId="0" fontId="51" fillId="4" borderId="10" xfId="0" applyFont="1" applyFill="1" applyBorder="1" applyAlignment="1" applyProtection="1"/>
    <xf numFmtId="0" fontId="90" fillId="0" borderId="8" xfId="0" applyFont="1" applyBorder="1" applyProtection="1"/>
    <xf numFmtId="0" fontId="55" fillId="4" borderId="0" xfId="0" applyFont="1" applyFill="1" applyBorder="1" applyAlignment="1" applyProtection="1">
      <alignment horizontal="left"/>
    </xf>
    <xf numFmtId="0" fontId="59" fillId="23" borderId="0" xfId="0" applyFont="1" applyFill="1" applyAlignment="1" applyProtection="1">
      <alignment horizontal="center"/>
      <protection hidden="1"/>
    </xf>
    <xf numFmtId="0" fontId="33" fillId="23" borderId="0" xfId="0" applyFont="1" applyFill="1" applyAlignment="1" applyProtection="1">
      <alignment horizontal="left" indent="1"/>
      <protection hidden="1"/>
    </xf>
    <xf numFmtId="0" fontId="20" fillId="0" borderId="0" xfId="0" applyFont="1" applyProtection="1">
      <protection hidden="1"/>
    </xf>
    <xf numFmtId="0" fontId="20" fillId="0" borderId="0" xfId="0" applyFont="1" applyAlignment="1" applyProtection="1">
      <alignment horizontal="center"/>
      <protection hidden="1"/>
    </xf>
    <xf numFmtId="0" fontId="55" fillId="0" borderId="0" xfId="0" applyFont="1" applyProtection="1">
      <protection hidden="1"/>
    </xf>
    <xf numFmtId="0" fontId="20" fillId="0" borderId="0" xfId="0" applyFont="1" applyAlignment="1" applyProtection="1">
      <alignment vertical="center"/>
      <protection hidden="1"/>
    </xf>
    <xf numFmtId="0" fontId="47" fillId="26" borderId="0" xfId="0" applyFont="1" applyFill="1" applyAlignment="1" applyProtection="1">
      <alignment horizontal="left" vertical="center"/>
      <protection hidden="1"/>
    </xf>
    <xf numFmtId="0" fontId="20" fillId="26" borderId="0" xfId="0" applyFont="1" applyFill="1" applyAlignment="1" applyProtection="1">
      <alignment vertical="center"/>
      <protection hidden="1"/>
    </xf>
    <xf numFmtId="0" fontId="55" fillId="0" borderId="0" xfId="0" applyFont="1" applyAlignment="1" applyProtection="1">
      <alignment vertical="center"/>
      <protection hidden="1"/>
    </xf>
    <xf numFmtId="0" fontId="84" fillId="32" borderId="0" xfId="0" applyFont="1" applyFill="1" applyAlignment="1" applyProtection="1">
      <alignment vertical="center"/>
      <protection hidden="1"/>
    </xf>
    <xf numFmtId="0" fontId="84"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84" fillId="32" borderId="0" xfId="0" applyFont="1" applyFill="1" applyProtection="1">
      <protection hidden="1"/>
    </xf>
    <xf numFmtId="0" fontId="84" fillId="33" borderId="0" xfId="0" applyFont="1" applyFill="1" applyAlignment="1" applyProtection="1">
      <alignment horizontal="center"/>
      <protection hidden="1"/>
    </xf>
    <xf numFmtId="0" fontId="84" fillId="33" borderId="0" xfId="0" applyFont="1" applyFill="1" applyProtection="1">
      <protection hidden="1"/>
    </xf>
    <xf numFmtId="0" fontId="20" fillId="26" borderId="0" xfId="0" applyFont="1" applyFill="1" applyProtection="1">
      <protection hidden="1"/>
    </xf>
    <xf numFmtId="0" fontId="20" fillId="0" borderId="0" xfId="0" applyFont="1" applyFill="1" applyAlignment="1" applyProtection="1">
      <alignment horizontal="left" vertical="center" indent="2"/>
      <protection hidden="1"/>
    </xf>
    <xf numFmtId="0" fontId="55" fillId="0" borderId="0" xfId="0" applyFont="1" applyAlignment="1" applyProtection="1">
      <alignment horizontal="center"/>
      <protection hidden="1"/>
    </xf>
    <xf numFmtId="0" fontId="17" fillId="4" borderId="0" xfId="0" applyFont="1" applyFill="1" applyProtection="1">
      <protection hidden="1"/>
    </xf>
    <xf numFmtId="0" fontId="17" fillId="4" borderId="0" xfId="0" applyFont="1" applyFill="1" applyAlignment="1" applyProtection="1">
      <alignment horizontal="center"/>
      <protection hidden="1"/>
    </xf>
    <xf numFmtId="0" fontId="47" fillId="4" borderId="61" xfId="0" applyFont="1" applyFill="1" applyBorder="1" applyProtection="1">
      <protection hidden="1"/>
    </xf>
    <xf numFmtId="0" fontId="33" fillId="4" borderId="61" xfId="0" applyFont="1" applyFill="1" applyBorder="1" applyAlignment="1" applyProtection="1">
      <alignment horizontal="left" indent="1"/>
      <protection hidden="1"/>
    </xf>
    <xf numFmtId="0" fontId="33" fillId="4" borderId="61" xfId="0" applyFont="1" applyFill="1" applyBorder="1" applyAlignment="1" applyProtection="1">
      <alignment horizontal="left" wrapText="1" indent="2"/>
      <protection hidden="1"/>
    </xf>
    <xf numFmtId="0" fontId="17" fillId="4" borderId="61" xfId="0" applyFont="1" applyFill="1" applyBorder="1" applyProtection="1">
      <protection hidden="1"/>
    </xf>
    <xf numFmtId="0" fontId="0" fillId="0" borderId="0" xfId="0" quotePrefix="1"/>
    <xf numFmtId="0" fontId="81" fillId="0" borderId="0" xfId="0" applyFont="1"/>
    <xf numFmtId="0" fontId="81" fillId="0" borderId="0" xfId="0" applyFont="1" applyAlignment="1">
      <alignment horizontal="center"/>
    </xf>
    <xf numFmtId="0" fontId="0" fillId="0" borderId="0" xfId="0" applyAlignment="1">
      <alignment horizontal="center"/>
    </xf>
    <xf numFmtId="0" fontId="33" fillId="0" borderId="8" xfId="0" applyFont="1" applyFill="1" applyBorder="1" applyProtection="1">
      <protection hidden="1"/>
    </xf>
    <xf numFmtId="0" fontId="92" fillId="30" borderId="0" xfId="0" applyFont="1" applyFill="1" applyAlignment="1">
      <alignment horizontal="center" vertical="top" wrapText="1"/>
    </xf>
    <xf numFmtId="0" fontId="0" fillId="30" borderId="0" xfId="0" applyFill="1" applyAlignment="1">
      <alignment horizontal="center"/>
    </xf>
    <xf numFmtId="0" fontId="93" fillId="0" borderId="8" xfId="0" applyFont="1" applyBorder="1" applyAlignment="1" applyProtection="1">
      <alignment vertical="center"/>
      <protection hidden="1"/>
    </xf>
    <xf numFmtId="0" fontId="90" fillId="0" borderId="8" xfId="0" applyFont="1" applyBorder="1" applyAlignment="1" applyProtection="1">
      <alignment horizontal="left" vertical="center" indent="1"/>
      <protection hidden="1"/>
    </xf>
    <xf numFmtId="0" fontId="38" fillId="4" borderId="19" xfId="0" applyFont="1" applyFill="1" applyBorder="1" applyProtection="1">
      <protection hidden="1"/>
    </xf>
    <xf numFmtId="0" fontId="38" fillId="4" borderId="20" xfId="0" applyFont="1" applyFill="1" applyBorder="1" applyProtection="1">
      <protection hidden="1"/>
    </xf>
    <xf numFmtId="0" fontId="74" fillId="4" borderId="7" xfId="0" applyFont="1" applyFill="1" applyBorder="1" applyAlignment="1" applyProtection="1">
      <alignment horizontal="left" vertical="center" indent="4"/>
      <protection locked="0" hidden="1"/>
    </xf>
    <xf numFmtId="0" fontId="62" fillId="4" borderId="0" xfId="0" quotePrefix="1" applyFont="1" applyFill="1" applyBorder="1" applyAlignment="1" applyProtection="1">
      <alignment horizontal="left" vertical="top" wrapText="1" indent="1"/>
      <protection hidden="1"/>
    </xf>
    <xf numFmtId="0" fontId="94" fillId="4" borderId="10" xfId="0" applyFont="1" applyFill="1" applyBorder="1" applyProtection="1">
      <protection hidden="1"/>
    </xf>
    <xf numFmtId="0" fontId="46" fillId="4" borderId="10" xfId="0" applyFont="1" applyFill="1" applyBorder="1" applyProtection="1">
      <protection hidden="1"/>
    </xf>
    <xf numFmtId="0" fontId="35" fillId="4" borderId="8" xfId="0" applyFont="1" applyFill="1" applyBorder="1" applyProtection="1">
      <protection hidden="1"/>
    </xf>
    <xf numFmtId="0" fontId="35" fillId="4" borderId="33" xfId="0" applyFont="1" applyFill="1" applyBorder="1" applyAlignment="1" applyProtection="1">
      <alignment horizontal="left" indent="1"/>
      <protection hidden="1"/>
    </xf>
    <xf numFmtId="0" fontId="55" fillId="4" borderId="10" xfId="0" applyFont="1" applyFill="1" applyBorder="1" applyProtection="1">
      <protection hidden="1"/>
    </xf>
    <xf numFmtId="0" fontId="55" fillId="4" borderId="0" xfId="0" applyFont="1" applyFill="1" applyBorder="1" applyProtection="1">
      <protection hidden="1"/>
    </xf>
    <xf numFmtId="0" fontId="90" fillId="4" borderId="8" xfId="0" applyFont="1" applyFill="1" applyBorder="1" applyAlignment="1" applyProtection="1">
      <alignment wrapText="1"/>
      <protection hidden="1"/>
    </xf>
    <xf numFmtId="0" fontId="35" fillId="4" borderId="8" xfId="0" applyFont="1" applyFill="1" applyBorder="1" applyAlignment="1" applyProtection="1">
      <alignment horizontal="left"/>
      <protection hidden="1"/>
    </xf>
    <xf numFmtId="0" fontId="75" fillId="0" borderId="0" xfId="0" applyFont="1" applyBorder="1" applyProtection="1">
      <protection hidden="1"/>
    </xf>
    <xf numFmtId="0" fontId="95" fillId="0" borderId="8" xfId="0" applyFont="1" applyBorder="1" applyAlignment="1" applyProtection="1">
      <alignment horizontal="left" vertical="center"/>
      <protection hidden="1"/>
    </xf>
    <xf numFmtId="0" fontId="39" fillId="3" borderId="6" xfId="0" applyFont="1" applyFill="1" applyBorder="1" applyAlignment="1" applyProtection="1">
      <alignment horizontal="left" vertical="center" indent="1"/>
      <protection hidden="1"/>
    </xf>
    <xf numFmtId="0" fontId="97" fillId="25" borderId="46" xfId="1" applyFont="1" applyFill="1" applyBorder="1" applyAlignment="1" applyProtection="1">
      <alignment horizontal="center" vertical="center"/>
      <protection hidden="1"/>
    </xf>
    <xf numFmtId="0" fontId="86" fillId="35" borderId="0" xfId="0" applyFont="1" applyFill="1" applyAlignment="1" applyProtection="1">
      <alignment horizontal="center"/>
      <protection hidden="1"/>
    </xf>
    <xf numFmtId="0" fontId="44" fillId="0" borderId="10" xfId="0" applyFont="1" applyBorder="1" applyAlignment="1" applyProtection="1">
      <alignment horizontal="left" vertical="center"/>
      <protection hidden="1"/>
    </xf>
    <xf numFmtId="0" fontId="31" fillId="0" borderId="8" xfId="0" applyFont="1" applyBorder="1" applyAlignment="1" applyProtection="1">
      <alignment horizontal="left" indent="1"/>
      <protection hidden="1"/>
    </xf>
    <xf numFmtId="0" fontId="31" fillId="0" borderId="10" xfId="0" applyFont="1" applyBorder="1" applyAlignment="1" applyProtection="1">
      <alignment horizontal="left" indent="1"/>
      <protection hidden="1"/>
    </xf>
    <xf numFmtId="0" fontId="62" fillId="0" borderId="10" xfId="0" applyFont="1" applyBorder="1" applyAlignment="1" applyProtection="1">
      <alignment horizontal="left" vertical="center"/>
      <protection hidden="1"/>
    </xf>
    <xf numFmtId="0" fontId="40" fillId="0" borderId="8" xfId="0" applyFont="1" applyBorder="1" applyProtection="1">
      <protection hidden="1"/>
    </xf>
    <xf numFmtId="0" fontId="0" fillId="0" borderId="8" xfId="0" applyFont="1" applyBorder="1" applyProtection="1">
      <protection hidden="1"/>
    </xf>
    <xf numFmtId="0" fontId="0" fillId="0" borderId="8" xfId="0" applyBorder="1" applyProtection="1">
      <protection hidden="1"/>
    </xf>
    <xf numFmtId="0" fontId="0" fillId="0" borderId="11" xfId="0" applyBorder="1" applyAlignment="1" applyProtection="1">
      <alignment horizontal="left" indent="1"/>
      <protection hidden="1"/>
    </xf>
    <xf numFmtId="0" fontId="44" fillId="4" borderId="2" xfId="0" applyFont="1" applyFill="1" applyBorder="1" applyAlignment="1" applyProtection="1">
      <alignment vertical="center" wrapText="1"/>
      <protection hidden="1"/>
    </xf>
    <xf numFmtId="0" fontId="40" fillId="0" borderId="9" xfId="0" applyFont="1" applyBorder="1" applyProtection="1">
      <protection hidden="1"/>
    </xf>
    <xf numFmtId="0" fontId="40" fillId="4" borderId="8" xfId="0" applyFont="1" applyFill="1" applyBorder="1" applyProtection="1">
      <protection hidden="1"/>
    </xf>
    <xf numFmtId="0" fontId="40" fillId="4" borderId="21" xfId="0" applyFont="1" applyFill="1" applyBorder="1" applyProtection="1">
      <protection hidden="1"/>
    </xf>
    <xf numFmtId="0" fontId="0" fillId="0" borderId="0" xfId="0" applyAlignment="1">
      <alignment wrapText="1"/>
    </xf>
    <xf numFmtId="0" fontId="0" fillId="0" borderId="0" xfId="0" applyAlignment="1">
      <alignment vertical="top" wrapText="1"/>
    </xf>
    <xf numFmtId="0" fontId="38" fillId="4" borderId="0" xfId="0" quotePrefix="1" applyFont="1" applyFill="1" applyBorder="1" applyAlignment="1" applyProtection="1">
      <alignment vertical="top"/>
      <protection hidden="1"/>
    </xf>
    <xf numFmtId="0" fontId="16" fillId="4" borderId="10" xfId="0" applyFont="1" applyFill="1" applyBorder="1" applyAlignment="1" applyProtection="1">
      <alignment wrapText="1"/>
      <protection hidden="1"/>
    </xf>
    <xf numFmtId="0" fontId="98" fillId="36" borderId="0" xfId="0" applyFont="1" applyFill="1" applyBorder="1" applyAlignment="1" applyProtection="1">
      <alignment horizontal="center"/>
      <protection hidden="1"/>
    </xf>
    <xf numFmtId="0" fontId="98" fillId="36" borderId="0" xfId="0" applyFont="1" applyFill="1" applyBorder="1" applyAlignment="1" applyProtection="1">
      <alignment horizontal="center" vertical="center"/>
      <protection hidden="1"/>
    </xf>
    <xf numFmtId="0" fontId="45" fillId="0" borderId="12" xfId="0" applyFont="1" applyBorder="1" applyAlignment="1" applyProtection="1">
      <alignment horizontal="left" vertical="center" indent="1"/>
      <protection locked="0"/>
    </xf>
    <xf numFmtId="0" fontId="45" fillId="0" borderId="6" xfId="0" applyFont="1" applyBorder="1" applyAlignment="1" applyProtection="1">
      <alignment horizontal="left" vertical="center" indent="1"/>
      <protection locked="0"/>
    </xf>
    <xf numFmtId="49" fontId="45" fillId="0" borderId="6" xfId="0" applyNumberFormat="1" applyFont="1" applyBorder="1" applyAlignment="1" applyProtection="1">
      <alignment horizontal="left" vertical="center" indent="1"/>
      <protection locked="0"/>
    </xf>
    <xf numFmtId="165" fontId="45" fillId="0" borderId="6" xfId="0" applyNumberFormat="1" applyFont="1" applyBorder="1" applyAlignment="1" applyProtection="1">
      <alignment horizontal="left" vertical="center" indent="1"/>
      <protection locked="0"/>
    </xf>
    <xf numFmtId="0" fontId="45" fillId="0" borderId="12" xfId="0" applyFont="1" applyBorder="1" applyAlignment="1" applyProtection="1">
      <alignment horizontal="left" indent="1"/>
      <protection locked="0"/>
    </xf>
    <xf numFmtId="0" fontId="45" fillId="0" borderId="6" xfId="0" applyFont="1" applyBorder="1" applyAlignment="1" applyProtection="1">
      <alignment horizontal="left" indent="1"/>
      <protection locked="0"/>
    </xf>
    <xf numFmtId="49" fontId="45" fillId="0" borderId="6" xfId="0" applyNumberFormat="1" applyFont="1" applyBorder="1" applyAlignment="1" applyProtection="1">
      <alignment horizontal="left" indent="1"/>
      <protection locked="0"/>
    </xf>
    <xf numFmtId="0" fontId="45" fillId="4" borderId="0" xfId="0" applyFont="1" applyFill="1" applyBorder="1" applyAlignment="1" applyProtection="1">
      <alignment horizontal="left" indent="1"/>
      <protection locked="0"/>
    </xf>
    <xf numFmtId="49" fontId="45" fillId="4" borderId="0" xfId="0" applyNumberFormat="1" applyFont="1" applyFill="1" applyBorder="1" applyAlignment="1" applyProtection="1">
      <alignment horizontal="left" indent="1"/>
      <protection locked="0"/>
    </xf>
    <xf numFmtId="165" fontId="45" fillId="0" borderId="0" xfId="0" applyNumberFormat="1" applyFont="1" applyBorder="1" applyAlignment="1" applyProtection="1">
      <alignment horizontal="left" vertical="center" indent="1"/>
      <protection locked="0"/>
    </xf>
    <xf numFmtId="0" fontId="30" fillId="4" borderId="3" xfId="0" applyFont="1" applyFill="1" applyBorder="1" applyAlignment="1" applyProtection="1">
      <alignment horizontal="left" vertical="center"/>
      <protection locked="0"/>
    </xf>
    <xf numFmtId="0" fontId="15" fillId="4" borderId="6" xfId="0" applyFont="1" applyFill="1" applyBorder="1" applyAlignment="1" applyProtection="1">
      <alignment horizontal="left" vertical="center"/>
      <protection locked="0"/>
    </xf>
    <xf numFmtId="49" fontId="15" fillId="4" borderId="6" xfId="0" applyNumberFormat="1" applyFont="1" applyFill="1" applyBorder="1" applyAlignment="1" applyProtection="1">
      <alignment horizontal="left" vertical="center"/>
      <protection locked="0"/>
    </xf>
    <xf numFmtId="0" fontId="31" fillId="4" borderId="3" xfId="0" applyFont="1" applyFill="1" applyBorder="1" applyAlignment="1" applyProtection="1">
      <alignment horizontal="left" vertical="center"/>
      <protection locked="0"/>
    </xf>
    <xf numFmtId="49" fontId="26" fillId="4" borderId="4" xfId="0" applyNumberFormat="1" applyFont="1" applyFill="1" applyBorder="1" applyAlignment="1" applyProtection="1">
      <alignment horizontal="left" vertical="center"/>
      <protection locked="0"/>
    </xf>
    <xf numFmtId="0" fontId="39" fillId="4" borderId="3" xfId="0" applyFont="1" applyFill="1" applyBorder="1" applyAlignment="1" applyProtection="1">
      <alignment horizontal="left" vertical="center"/>
      <protection locked="0"/>
    </xf>
    <xf numFmtId="0" fontId="26" fillId="4" borderId="6" xfId="0" applyFont="1" applyFill="1" applyBorder="1" applyAlignment="1" applyProtection="1">
      <alignment horizontal="left" vertical="center"/>
      <protection locked="0"/>
    </xf>
    <xf numFmtId="49" fontId="26" fillId="4" borderId="6" xfId="0" applyNumberFormat="1" applyFont="1" applyFill="1" applyBorder="1" applyAlignment="1" applyProtection="1">
      <alignment horizontal="left" vertical="center"/>
      <protection locked="0"/>
    </xf>
    <xf numFmtId="0" fontId="87" fillId="4" borderId="0" xfId="0" applyFont="1" applyFill="1" applyBorder="1" applyProtection="1">
      <protection locked="0"/>
    </xf>
    <xf numFmtId="49" fontId="87" fillId="4" borderId="0" xfId="0" applyNumberFormat="1" applyFont="1" applyFill="1" applyBorder="1" applyProtection="1">
      <protection locked="0"/>
    </xf>
    <xf numFmtId="0" fontId="87" fillId="4" borderId="59" xfId="0" applyFont="1" applyFill="1" applyBorder="1" applyProtection="1">
      <protection locked="0"/>
    </xf>
    <xf numFmtId="49" fontId="87" fillId="4" borderId="59" xfId="0" applyNumberFormat="1" applyFont="1" applyFill="1" applyBorder="1" applyProtection="1">
      <protection locked="0"/>
    </xf>
    <xf numFmtId="1" fontId="39" fillId="0" borderId="6" xfId="0" applyNumberFormat="1" applyFont="1" applyBorder="1" applyAlignment="1" applyProtection="1">
      <alignment horizontal="left" vertical="center" wrapText="1" indent="1"/>
      <protection locked="0"/>
    </xf>
    <xf numFmtId="0" fontId="14" fillId="4" borderId="42" xfId="0" applyNumberFormat="1" applyFont="1" applyFill="1" applyBorder="1" applyAlignment="1" applyProtection="1">
      <alignment horizontal="left" vertical="center" indent="1"/>
      <protection hidden="1"/>
    </xf>
    <xf numFmtId="0" fontId="96" fillId="4" borderId="0" xfId="0" applyFont="1" applyFill="1" applyAlignment="1" applyProtection="1">
      <alignment vertical="center"/>
      <protection hidden="1"/>
    </xf>
    <xf numFmtId="0" fontId="47" fillId="4" borderId="0" xfId="0" applyFont="1" applyFill="1" applyProtection="1">
      <protection hidden="1"/>
    </xf>
    <xf numFmtId="0" fontId="105" fillId="4" borderId="0" xfId="0" applyFont="1" applyFill="1" applyBorder="1" applyAlignment="1" applyProtection="1">
      <alignment horizontal="center"/>
      <protection hidden="1"/>
    </xf>
    <xf numFmtId="0" fontId="105" fillId="4" borderId="59" xfId="0" applyFont="1" applyFill="1" applyBorder="1" applyAlignment="1" applyProtection="1">
      <alignment horizontal="center"/>
      <protection hidden="1"/>
    </xf>
    <xf numFmtId="0" fontId="47" fillId="0" borderId="0" xfId="0" applyFont="1" applyAlignment="1" applyProtection="1">
      <alignment horizontal="center"/>
      <protection hidden="1"/>
    </xf>
    <xf numFmtId="0" fontId="106" fillId="0" borderId="4" xfId="1" applyFont="1" applyBorder="1" applyAlignment="1" applyProtection="1">
      <alignment horizontal="left" indent="1"/>
      <protection locked="0"/>
    </xf>
    <xf numFmtId="49" fontId="107" fillId="4" borderId="4" xfId="1" applyNumberFormat="1" applyFont="1" applyFill="1" applyBorder="1" applyAlignment="1" applyProtection="1">
      <alignment horizontal="left" vertical="center"/>
      <protection locked="0"/>
    </xf>
    <xf numFmtId="0" fontId="50" fillId="4" borderId="4" xfId="1" applyFont="1" applyFill="1" applyBorder="1" applyAlignment="1" applyProtection="1">
      <alignment horizontal="left" vertical="center"/>
      <protection locked="0"/>
    </xf>
    <xf numFmtId="49" fontId="13" fillId="4" borderId="4" xfId="0" applyNumberFormat="1" applyFont="1" applyFill="1" applyBorder="1" applyAlignment="1" applyProtection="1">
      <alignment horizontal="left" vertical="center"/>
      <protection locked="0"/>
    </xf>
    <xf numFmtId="49" fontId="50" fillId="4" borderId="6" xfId="1" applyNumberFormat="1" applyFont="1" applyFill="1" applyBorder="1" applyAlignment="1" applyProtection="1">
      <alignment horizontal="left" vertical="center"/>
      <protection locked="0"/>
    </xf>
    <xf numFmtId="49" fontId="13" fillId="4" borderId="6" xfId="1" applyNumberFormat="1" applyFont="1" applyFill="1" applyBorder="1" applyAlignment="1" applyProtection="1">
      <alignment horizontal="left" vertical="center"/>
      <protection locked="0"/>
    </xf>
    <xf numFmtId="49" fontId="43" fillId="4" borderId="1" xfId="1" applyNumberFormat="1" applyFont="1" applyFill="1" applyBorder="1" applyAlignment="1" applyProtection="1">
      <alignment horizontal="left" vertical="center" indent="1"/>
      <protection locked="0"/>
    </xf>
    <xf numFmtId="0" fontId="33" fillId="0" borderId="13" xfId="0" applyFont="1" applyBorder="1" applyProtection="1">
      <protection hidden="1"/>
    </xf>
    <xf numFmtId="0" fontId="95" fillId="0" borderId="8" xfId="0" applyFont="1" applyBorder="1" applyAlignment="1" applyProtection="1">
      <alignment horizontal="left" vertical="top"/>
      <protection hidden="1"/>
    </xf>
    <xf numFmtId="0" fontId="79" fillId="0" borderId="8" xfId="0" applyFont="1" applyFill="1" applyBorder="1" applyAlignment="1" applyProtection="1">
      <protection hidden="1"/>
    </xf>
    <xf numFmtId="0" fontId="12" fillId="5" borderId="12" xfId="0" applyFont="1" applyFill="1" applyBorder="1" applyAlignment="1" applyProtection="1">
      <alignment horizontal="right" vertical="center" indent="1"/>
      <protection hidden="1"/>
    </xf>
    <xf numFmtId="0" fontId="108" fillId="0" borderId="8" xfId="0" applyFont="1" applyFill="1" applyBorder="1" applyProtection="1">
      <protection hidden="1"/>
    </xf>
    <xf numFmtId="0" fontId="12" fillId="5" borderId="6" xfId="0" applyFont="1" applyFill="1" applyBorder="1" applyAlignment="1" applyProtection="1">
      <alignment horizontal="right" vertical="center" indent="1"/>
      <protection hidden="1"/>
    </xf>
    <xf numFmtId="0" fontId="109" fillId="0" borderId="10" xfId="0" applyFont="1" applyBorder="1" applyAlignment="1" applyProtection="1">
      <alignment horizontal="left" indent="1"/>
      <protection hidden="1"/>
    </xf>
    <xf numFmtId="0" fontId="12" fillId="5" borderId="6" xfId="0" applyFont="1" applyFill="1" applyBorder="1" applyAlignment="1" applyProtection="1">
      <alignment horizontal="right" vertical="center" wrapText="1" indent="1"/>
      <protection hidden="1"/>
    </xf>
    <xf numFmtId="0" fontId="37" fillId="0" borderId="8" xfId="1" applyFill="1" applyBorder="1" applyAlignment="1" applyProtection="1">
      <alignment vertical="center"/>
      <protection hidden="1"/>
    </xf>
    <xf numFmtId="0" fontId="110" fillId="0" borderId="8" xfId="0" applyFont="1" applyFill="1" applyBorder="1" applyAlignment="1" applyProtection="1">
      <protection hidden="1"/>
    </xf>
    <xf numFmtId="0" fontId="42" fillId="0" borderId="10" xfId="0" applyFont="1" applyBorder="1" applyAlignment="1" applyProtection="1">
      <alignment horizontal="left" vertical="center" indent="1"/>
      <protection hidden="1"/>
    </xf>
    <xf numFmtId="0" fontId="108" fillId="0" borderId="8" xfId="0" applyFont="1" applyFill="1" applyBorder="1" applyAlignment="1" applyProtection="1">
      <alignment vertical="center"/>
      <protection hidden="1"/>
    </xf>
    <xf numFmtId="0" fontId="66" fillId="0" borderId="18" xfId="0" applyFont="1" applyBorder="1" applyAlignment="1" applyProtection="1">
      <alignment horizontal="left" vertical="center" indent="1"/>
      <protection hidden="1"/>
    </xf>
    <xf numFmtId="0" fontId="33" fillId="4" borderId="21" xfId="0" applyFont="1" applyFill="1" applyBorder="1" applyProtection="1">
      <protection hidden="1"/>
    </xf>
    <xf numFmtId="0" fontId="12" fillId="4" borderId="0" xfId="0" applyFont="1" applyFill="1" applyBorder="1" applyAlignment="1" applyProtection="1">
      <alignment horizontal="right" indent="1"/>
      <protection hidden="1"/>
    </xf>
    <xf numFmtId="0" fontId="111" fillId="4" borderId="10" xfId="0" applyFont="1" applyFill="1" applyBorder="1" applyAlignment="1" applyProtection="1">
      <alignment horizontal="right"/>
      <protection hidden="1"/>
    </xf>
    <xf numFmtId="0" fontId="35" fillId="0" borderId="0" xfId="0" applyNumberFormat="1" applyFont="1" applyFill="1" applyBorder="1" applyProtection="1">
      <protection hidden="1"/>
    </xf>
    <xf numFmtId="0" fontId="41" fillId="4" borderId="0" xfId="0" applyFont="1" applyFill="1" applyBorder="1" applyProtection="1">
      <protection hidden="1"/>
    </xf>
    <xf numFmtId="0" fontId="11" fillId="3" borderId="1" xfId="0" applyFont="1" applyFill="1" applyBorder="1" applyAlignment="1" applyProtection="1">
      <alignment horizontal="left" vertical="center" indent="1"/>
      <protection hidden="1"/>
    </xf>
    <xf numFmtId="0" fontId="64" fillId="2" borderId="66" xfId="0" applyFont="1" applyFill="1" applyBorder="1" applyAlignment="1" applyProtection="1">
      <alignment horizontal="left" vertical="center" wrapText="1" indent="3"/>
      <protection hidden="1"/>
    </xf>
    <xf numFmtId="0" fontId="63" fillId="0" borderId="34" xfId="0" applyFont="1" applyBorder="1" applyAlignment="1" applyProtection="1">
      <alignment horizontal="left" vertical="center" wrapText="1" indent="1"/>
      <protection hidden="1"/>
    </xf>
    <xf numFmtId="0" fontId="11" fillId="0" borderId="0" xfId="0" applyFont="1" applyBorder="1" applyProtection="1">
      <protection hidden="1"/>
    </xf>
    <xf numFmtId="0" fontId="11" fillId="0" borderId="0" xfId="0" applyFont="1" applyProtection="1">
      <protection hidden="1"/>
    </xf>
    <xf numFmtId="0" fontId="11" fillId="0" borderId="0" xfId="0" applyFont="1" applyAlignment="1" applyProtection="1">
      <alignment horizontal="center"/>
      <protection hidden="1"/>
    </xf>
    <xf numFmtId="0" fontId="47" fillId="4" borderId="59" xfId="0" applyFont="1" applyFill="1" applyBorder="1" applyAlignment="1" applyProtection="1">
      <alignment horizontal="center"/>
      <protection hidden="1"/>
    </xf>
    <xf numFmtId="0" fontId="11" fillId="4" borderId="59" xfId="0" applyFont="1" applyFill="1" applyBorder="1" applyProtection="1">
      <protection locked="0"/>
    </xf>
    <xf numFmtId="0" fontId="40" fillId="0" borderId="8" xfId="0" applyFont="1" applyBorder="1" applyAlignment="1" applyProtection="1">
      <protection hidden="1"/>
    </xf>
    <xf numFmtId="0" fontId="40" fillId="0" borderId="8" xfId="0" applyFont="1" applyBorder="1" applyAlignment="1" applyProtection="1">
      <alignment vertical="center"/>
      <protection hidden="1"/>
    </xf>
    <xf numFmtId="0" fontId="55" fillId="0" borderId="0" xfId="0" applyFont="1" applyAlignment="1" applyProtection="1">
      <alignment horizontal="left"/>
      <protection hidden="1"/>
    </xf>
    <xf numFmtId="0" fontId="90" fillId="4" borderId="0" xfId="0" applyFont="1" applyFill="1" applyBorder="1" applyAlignment="1" applyProtection="1">
      <alignment horizontal="right" vertical="center"/>
      <protection hidden="1"/>
    </xf>
    <xf numFmtId="0" fontId="55" fillId="4" borderId="0" xfId="0" applyFont="1" applyFill="1" applyBorder="1" applyAlignment="1" applyProtection="1">
      <alignment horizontal="right" vertical="center" wrapText="1"/>
      <protection hidden="1"/>
    </xf>
    <xf numFmtId="0" fontId="55" fillId="4" borderId="0" xfId="0" applyFont="1" applyFill="1" applyBorder="1" applyAlignment="1" applyProtection="1">
      <alignment vertical="center"/>
      <protection hidden="1"/>
    </xf>
    <xf numFmtId="0" fontId="55" fillId="0" borderId="9" xfId="0" applyFont="1" applyBorder="1" applyProtection="1">
      <protection hidden="1"/>
    </xf>
    <xf numFmtId="0" fontId="90" fillId="4" borderId="24" xfId="0" applyFont="1" applyFill="1" applyBorder="1" applyAlignment="1" applyProtection="1">
      <protection hidden="1"/>
    </xf>
    <xf numFmtId="0" fontId="90" fillId="0" borderId="8" xfId="0" applyFont="1" applyBorder="1" applyProtection="1">
      <protection hidden="1"/>
    </xf>
    <xf numFmtId="0" fontId="10" fillId="4" borderId="42" xfId="0" applyFont="1" applyFill="1" applyBorder="1" applyAlignment="1" applyProtection="1">
      <alignment vertical="center"/>
      <protection hidden="1"/>
    </xf>
    <xf numFmtId="0" fontId="31" fillId="4" borderId="0" xfId="0" applyNumberFormat="1" applyFont="1" applyFill="1" applyAlignment="1" applyProtection="1">
      <alignment horizontal="left" indent="2"/>
      <protection hidden="1"/>
    </xf>
    <xf numFmtId="0" fontId="10" fillId="0" borderId="8" xfId="0" applyFont="1" applyBorder="1" applyAlignment="1" applyProtection="1">
      <alignment horizontal="left" vertical="center"/>
      <protection hidden="1"/>
    </xf>
    <xf numFmtId="0" fontId="30" fillId="4" borderId="42" xfId="0" applyNumberFormat="1" applyFont="1" applyFill="1" applyBorder="1" applyAlignment="1" applyProtection="1">
      <alignment horizontal="left" vertical="center" wrapText="1" indent="1"/>
      <protection hidden="1"/>
    </xf>
    <xf numFmtId="0" fontId="31" fillId="4" borderId="42" xfId="0" applyNumberFormat="1" applyFont="1" applyFill="1" applyBorder="1" applyAlignment="1" applyProtection="1">
      <alignment horizontal="left" vertical="center" wrapText="1" indent="1"/>
      <protection hidden="1"/>
    </xf>
    <xf numFmtId="0" fontId="10" fillId="4" borderId="42" xfId="0" applyNumberFormat="1" applyFont="1" applyFill="1" applyBorder="1" applyAlignment="1" applyProtection="1">
      <alignment horizontal="left" vertical="center" wrapText="1" indent="1"/>
      <protection hidden="1"/>
    </xf>
    <xf numFmtId="0" fontId="31" fillId="4" borderId="0" xfId="0" applyNumberFormat="1" applyFont="1" applyFill="1" applyBorder="1" applyAlignment="1" applyProtection="1">
      <alignment horizontal="left" indent="2"/>
      <protection hidden="1"/>
    </xf>
    <xf numFmtId="0" fontId="10" fillId="4" borderId="42" xfId="0" applyNumberFormat="1" applyFont="1" applyFill="1" applyBorder="1" applyAlignment="1" applyProtection="1">
      <alignment horizontal="left" vertical="center" indent="1"/>
      <protection hidden="1"/>
    </xf>
    <xf numFmtId="0" fontId="10" fillId="4" borderId="42" xfId="0" applyFont="1" applyFill="1" applyBorder="1" applyAlignment="1" applyProtection="1">
      <alignment vertical="center" wrapText="1"/>
      <protection hidden="1"/>
    </xf>
    <xf numFmtId="0" fontId="9" fillId="23" borderId="0" xfId="0" applyFont="1" applyFill="1" applyAlignment="1" applyProtection="1">
      <alignment vertical="center"/>
      <protection hidden="1"/>
    </xf>
    <xf numFmtId="0" fontId="9" fillId="4" borderId="42" xfId="0" applyFont="1" applyFill="1" applyBorder="1" applyAlignment="1" applyProtection="1">
      <alignment horizontal="left" vertical="center" wrapText="1"/>
      <protection hidden="1"/>
    </xf>
    <xf numFmtId="0" fontId="9" fillId="4" borderId="42" xfId="0" applyNumberFormat="1" applyFont="1" applyFill="1" applyBorder="1" applyAlignment="1" applyProtection="1">
      <alignment horizontal="left" vertical="center" wrapText="1" indent="1"/>
      <protection hidden="1"/>
    </xf>
    <xf numFmtId="0" fontId="9" fillId="0" borderId="8" xfId="0" applyFont="1" applyBorder="1" applyAlignment="1" applyProtection="1">
      <alignment vertical="center"/>
      <protection hidden="1"/>
    </xf>
    <xf numFmtId="0" fontId="9" fillId="3" borderId="3" xfId="0" applyFont="1" applyFill="1" applyBorder="1" applyAlignment="1" applyProtection="1">
      <alignment horizontal="center" vertical="center"/>
      <protection hidden="1"/>
    </xf>
    <xf numFmtId="0" fontId="9" fillId="3" borderId="3" xfId="0" applyFont="1" applyFill="1" applyBorder="1" applyAlignment="1" applyProtection="1">
      <alignment horizontal="center" vertical="center" wrapText="1"/>
      <protection hidden="1"/>
    </xf>
    <xf numFmtId="0" fontId="111" fillId="6" borderId="5" xfId="0" applyFont="1" applyFill="1" applyBorder="1" applyAlignment="1" applyProtection="1">
      <alignment horizontal="left" vertical="center" wrapText="1" indent="1"/>
      <protection hidden="1"/>
    </xf>
    <xf numFmtId="0" fontId="41" fillId="0" borderId="0" xfId="0" applyFont="1" applyBorder="1" applyProtection="1">
      <protection hidden="1"/>
    </xf>
    <xf numFmtId="0" fontId="41" fillId="0" borderId="0" xfId="0" applyFont="1" applyProtection="1">
      <protection hidden="1"/>
    </xf>
    <xf numFmtId="0" fontId="116" fillId="32" borderId="0" xfId="0" applyFont="1" applyFill="1" applyProtection="1">
      <protection hidden="1"/>
    </xf>
    <xf numFmtId="0" fontId="63" fillId="0" borderId="10" xfId="0" applyFont="1" applyBorder="1" applyAlignment="1" applyProtection="1">
      <alignment horizontal="left" indent="1"/>
      <protection hidden="1"/>
    </xf>
    <xf numFmtId="0" fontId="63" fillId="0" borderId="10" xfId="0" applyFont="1" applyBorder="1" applyAlignment="1" applyProtection="1">
      <alignment horizontal="left" vertical="center" indent="1"/>
      <protection hidden="1"/>
    </xf>
    <xf numFmtId="0" fontId="55" fillId="4" borderId="10" xfId="0" applyFont="1" applyFill="1" applyBorder="1" applyAlignment="1" applyProtection="1">
      <alignment horizontal="right" vertical="center"/>
      <protection hidden="1"/>
    </xf>
    <xf numFmtId="0" fontId="55" fillId="4" borderId="21" xfId="0" applyFont="1" applyFill="1" applyBorder="1" applyProtection="1">
      <protection hidden="1"/>
    </xf>
    <xf numFmtId="0" fontId="55" fillId="4" borderId="16" xfId="0" applyFont="1" applyFill="1" applyBorder="1" applyProtection="1">
      <protection hidden="1"/>
    </xf>
    <xf numFmtId="0" fontId="90" fillId="0" borderId="9" xfId="0" applyFont="1" applyBorder="1" applyAlignment="1" applyProtection="1">
      <alignment wrapText="1"/>
      <protection hidden="1"/>
    </xf>
    <xf numFmtId="0" fontId="90" fillId="4" borderId="0" xfId="0" applyFont="1" applyFill="1" applyBorder="1" applyAlignment="1" applyProtection="1">
      <alignment horizontal="left" vertical="center" wrapText="1"/>
      <protection hidden="1"/>
    </xf>
    <xf numFmtId="0" fontId="35" fillId="4" borderId="0" xfId="0" applyFont="1" applyFill="1" applyProtection="1">
      <protection hidden="1"/>
    </xf>
    <xf numFmtId="0" fontId="55" fillId="4" borderId="0" xfId="0" applyFont="1" applyFill="1" applyProtection="1">
      <protection hidden="1"/>
    </xf>
    <xf numFmtId="0" fontId="55" fillId="4" borderId="0" xfId="0" applyFont="1" applyFill="1" applyAlignment="1" applyProtection="1">
      <alignment vertical="center"/>
      <protection hidden="1"/>
    </xf>
    <xf numFmtId="0" fontId="90" fillId="4" borderId="0" xfId="0" applyFont="1" applyFill="1" applyBorder="1" applyAlignment="1" applyProtection="1">
      <alignment vertical="center" wrapText="1"/>
      <protection hidden="1"/>
    </xf>
    <xf numFmtId="0" fontId="90" fillId="4" borderId="0" xfId="0" applyFont="1" applyFill="1" applyBorder="1" applyAlignment="1" applyProtection="1">
      <alignment vertical="center"/>
      <protection hidden="1"/>
    </xf>
    <xf numFmtId="0" fontId="55" fillId="4" borderId="0" xfId="0" applyFont="1" applyFill="1" applyAlignment="1" applyProtection="1">
      <protection hidden="1"/>
    </xf>
    <xf numFmtId="0" fontId="35" fillId="4" borderId="61" xfId="0" applyFont="1" applyFill="1" applyBorder="1" applyProtection="1">
      <protection hidden="1"/>
    </xf>
    <xf numFmtId="0" fontId="55" fillId="4" borderId="61" xfId="0" applyFont="1" applyFill="1" applyBorder="1" applyProtection="1">
      <protection hidden="1"/>
    </xf>
    <xf numFmtId="0" fontId="119" fillId="0" borderId="0" xfId="0" applyFont="1" applyFill="1" applyAlignment="1" applyProtection="1">
      <alignment horizontal="left" vertical="center" indent="2"/>
      <protection hidden="1"/>
    </xf>
    <xf numFmtId="0" fontId="118" fillId="37" borderId="0" xfId="0" applyFont="1" applyFill="1" applyAlignment="1" applyProtection="1">
      <alignment horizontal="center"/>
      <protection hidden="1"/>
    </xf>
    <xf numFmtId="0" fontId="0" fillId="0" borderId="0" xfId="0"/>
    <xf numFmtId="0" fontId="8" fillId="0" borderId="8" xfId="0" applyFont="1" applyBorder="1" applyProtection="1">
      <protection hidden="1"/>
    </xf>
    <xf numFmtId="0" fontId="8" fillId="0" borderId="0" xfId="0" applyFont="1" applyBorder="1" applyProtection="1">
      <protection hidden="1"/>
    </xf>
    <xf numFmtId="0" fontId="8" fillId="4" borderId="8" xfId="0" applyFont="1" applyFill="1" applyBorder="1" applyProtection="1">
      <protection hidden="1"/>
    </xf>
    <xf numFmtId="0" fontId="8" fillId="4" borderId="8" xfId="0" applyFont="1" applyFill="1" applyBorder="1" applyAlignment="1" applyProtection="1">
      <alignment vertical="center"/>
      <protection hidden="1"/>
    </xf>
    <xf numFmtId="0" fontId="8" fillId="0" borderId="8" xfId="0" applyFont="1" applyBorder="1" applyAlignment="1" applyProtection="1">
      <alignment vertical="center"/>
      <protection hidden="1"/>
    </xf>
    <xf numFmtId="0" fontId="8" fillId="4" borderId="9" xfId="0" applyFont="1" applyFill="1" applyBorder="1" applyAlignment="1" applyProtection="1">
      <alignment vertical="center"/>
      <protection hidden="1"/>
    </xf>
    <xf numFmtId="0" fontId="8" fillId="4" borderId="0" xfId="0" applyFont="1" applyFill="1" applyBorder="1" applyProtection="1">
      <protection hidden="1"/>
    </xf>
    <xf numFmtId="0" fontId="55" fillId="0" borderId="0" xfId="0" applyFont="1" applyBorder="1" applyProtection="1">
      <protection hidden="1"/>
    </xf>
    <xf numFmtId="0" fontId="8" fillId="4" borderId="21" xfId="0" applyFont="1" applyFill="1" applyBorder="1" applyProtection="1">
      <protection hidden="1"/>
    </xf>
    <xf numFmtId="0" fontId="55" fillId="0" borderId="8" xfId="0" applyFont="1" applyBorder="1" applyProtection="1">
      <protection hidden="1"/>
    </xf>
    <xf numFmtId="0" fontId="55" fillId="4" borderId="8" xfId="0" applyFont="1" applyFill="1" applyBorder="1" applyProtection="1">
      <protection hidden="1"/>
    </xf>
    <xf numFmtId="0" fontId="55" fillId="0" borderId="21" xfId="0" applyFont="1" applyBorder="1" applyProtection="1">
      <protection hidden="1"/>
    </xf>
    <xf numFmtId="0" fontId="55" fillId="4" borderId="8" xfId="0" applyFont="1" applyFill="1" applyBorder="1" applyAlignment="1" applyProtection="1">
      <alignment vertical="center"/>
      <protection hidden="1"/>
    </xf>
    <xf numFmtId="0" fontId="55" fillId="4" borderId="8" xfId="0" applyFont="1" applyFill="1" applyBorder="1" applyAlignment="1" applyProtection="1">
      <alignment horizontal="left" vertical="center"/>
      <protection hidden="1"/>
    </xf>
    <xf numFmtId="0" fontId="35" fillId="4" borderId="8" xfId="0" applyFont="1" applyFill="1" applyBorder="1" applyAlignment="1" applyProtection="1">
      <alignment vertical="center"/>
      <protection hidden="1"/>
    </xf>
    <xf numFmtId="0" fontId="74" fillId="4" borderId="25" xfId="0" applyFont="1" applyFill="1" applyBorder="1" applyAlignment="1" applyProtection="1">
      <alignment vertical="center" wrapText="1"/>
      <protection hidden="1"/>
    </xf>
    <xf numFmtId="0" fontId="55" fillId="4" borderId="0" xfId="0" applyFont="1" applyFill="1" applyBorder="1" applyAlignment="1" applyProtection="1">
      <alignment horizontal="left" vertical="center"/>
      <protection hidden="1"/>
    </xf>
    <xf numFmtId="0" fontId="55" fillId="0" borderId="8" xfId="0" applyFont="1" applyBorder="1" applyAlignment="1" applyProtection="1">
      <alignment vertical="center"/>
      <protection hidden="1"/>
    </xf>
    <xf numFmtId="0" fontId="55" fillId="4" borderId="9" xfId="0" applyFont="1" applyFill="1" applyBorder="1" applyAlignment="1" applyProtection="1">
      <alignment vertical="center"/>
      <protection hidden="1"/>
    </xf>
    <xf numFmtId="0" fontId="0" fillId="0" borderId="0" xfId="0" applyAlignment="1">
      <alignment horizontal="center"/>
    </xf>
    <xf numFmtId="0" fontId="0" fillId="30" borderId="0" xfId="0" applyFill="1" applyAlignment="1">
      <alignment horizontal="center"/>
    </xf>
    <xf numFmtId="0" fontId="74" fillId="4" borderId="10" xfId="0" applyFont="1" applyFill="1" applyBorder="1" applyAlignment="1" applyProtection="1">
      <alignment vertical="center" wrapText="1"/>
      <protection hidden="1"/>
    </xf>
    <xf numFmtId="0" fontId="55" fillId="4" borderId="9" xfId="0" applyFont="1" applyFill="1" applyBorder="1" applyAlignment="1" applyProtection="1">
      <alignment horizontal="left" vertical="center"/>
      <protection hidden="1"/>
    </xf>
    <xf numFmtId="0" fontId="8" fillId="0" borderId="21" xfId="0" applyFont="1" applyBorder="1" applyProtection="1">
      <protection hidden="1"/>
    </xf>
    <xf numFmtId="0" fontId="33" fillId="4" borderId="8" xfId="0" applyFont="1" applyFill="1" applyBorder="1" applyAlignment="1" applyProtection="1">
      <alignment vertical="center"/>
      <protection hidden="1"/>
    </xf>
    <xf numFmtId="49" fontId="37" fillId="4" borderId="1" xfId="1" applyNumberFormat="1" applyFill="1" applyBorder="1" applyAlignment="1" applyProtection="1">
      <alignment horizontal="left" vertical="center" indent="1"/>
      <protection locked="0"/>
    </xf>
    <xf numFmtId="0" fontId="45" fillId="4" borderId="9" xfId="0" applyFont="1" applyFill="1" applyBorder="1" applyAlignment="1" applyProtection="1">
      <alignment vertical="center"/>
      <protection hidden="1"/>
    </xf>
    <xf numFmtId="0" fontId="45" fillId="4" borderId="8" xfId="0" applyFont="1" applyFill="1" applyBorder="1" applyAlignment="1" applyProtection="1">
      <alignment vertical="center"/>
      <protection hidden="1"/>
    </xf>
    <xf numFmtId="0" fontId="0" fillId="23" borderId="0" xfId="0" applyFill="1"/>
    <xf numFmtId="0" fontId="8" fillId="4" borderId="0" xfId="0" applyFont="1" applyFill="1" applyBorder="1" applyAlignment="1" applyProtection="1">
      <alignment horizontal="left" vertical="center" wrapText="1" indent="1"/>
      <protection hidden="1"/>
    </xf>
    <xf numFmtId="0" fontId="7" fillId="4" borderId="4" xfId="0" applyFont="1" applyFill="1" applyBorder="1" applyAlignment="1" applyProtection="1">
      <alignment horizontal="left" vertical="center"/>
      <protection locked="0"/>
    </xf>
    <xf numFmtId="0" fontId="0" fillId="0" borderId="0" xfId="0"/>
    <xf numFmtId="0" fontId="35" fillId="0" borderId="8" xfId="0" applyFont="1" applyBorder="1" applyProtection="1">
      <protection hidden="1"/>
    </xf>
    <xf numFmtId="0" fontId="74" fillId="0" borderId="8" xfId="0" applyFont="1" applyFill="1" applyBorder="1" applyProtection="1">
      <protection hidden="1"/>
    </xf>
    <xf numFmtId="0" fontId="0" fillId="0" borderId="0" xfId="0" applyAlignment="1">
      <alignment horizontal="center"/>
    </xf>
    <xf numFmtId="0" fontId="0" fillId="30" borderId="0" xfId="0" applyFill="1" applyAlignment="1">
      <alignment horizontal="center"/>
    </xf>
    <xf numFmtId="0" fontId="35" fillId="4" borderId="8" xfId="0" applyFont="1" applyFill="1" applyBorder="1" applyProtection="1">
      <protection hidden="1"/>
    </xf>
    <xf numFmtId="0" fontId="7" fillId="0" borderId="0" xfId="0" applyFont="1" applyAlignment="1" applyProtection="1">
      <alignment horizontal="left" indent="1"/>
      <protection hidden="1"/>
    </xf>
    <xf numFmtId="0" fontId="7" fillId="4" borderId="13" xfId="0" applyFont="1" applyFill="1" applyBorder="1" applyAlignment="1" applyProtection="1">
      <alignment horizontal="left" vertical="center" wrapText="1" indent="1"/>
      <protection hidden="1"/>
    </xf>
    <xf numFmtId="0" fontId="7" fillId="0" borderId="0" xfId="0" applyFont="1" applyAlignment="1" applyProtection="1">
      <alignment horizontal="left" vertical="center" indent="1"/>
      <protection hidden="1"/>
    </xf>
    <xf numFmtId="0" fontId="41" fillId="0" borderId="0" xfId="0" applyFont="1" applyAlignment="1" applyProtection="1">
      <alignment horizontal="left" indent="1"/>
      <protection hidden="1"/>
    </xf>
    <xf numFmtId="0" fontId="44" fillId="4" borderId="0" xfId="0" applyFont="1" applyFill="1" applyBorder="1" applyAlignment="1" applyProtection="1">
      <alignment horizontal="left" vertical="center"/>
      <protection hidden="1"/>
    </xf>
    <xf numFmtId="0" fontId="35" fillId="4" borderId="0" xfId="0" applyFont="1" applyFill="1" applyBorder="1" applyProtection="1">
      <protection hidden="1"/>
    </xf>
    <xf numFmtId="0" fontId="90" fillId="0" borderId="10" xfId="0" applyFont="1" applyFill="1" applyBorder="1" applyAlignment="1" applyProtection="1">
      <alignment horizontal="left" vertical="center"/>
      <protection hidden="1"/>
    </xf>
    <xf numFmtId="0" fontId="75" fillId="0" borderId="0" xfId="0" applyFont="1" applyBorder="1" applyAlignment="1" applyProtection="1">
      <alignment horizontal="left"/>
      <protection hidden="1"/>
    </xf>
    <xf numFmtId="0" fontId="7" fillId="4" borderId="59" xfId="0" applyFont="1" applyFill="1" applyBorder="1" applyProtection="1">
      <protection locked="0"/>
    </xf>
    <xf numFmtId="0" fontId="0" fillId="4" borderId="6" xfId="1" applyFont="1" applyFill="1" applyBorder="1" applyAlignment="1" applyProtection="1">
      <alignment horizontal="left" vertical="center"/>
      <protection locked="0"/>
    </xf>
    <xf numFmtId="0" fontId="0" fillId="0" borderId="0" xfId="0"/>
    <xf numFmtId="0" fontId="7" fillId="4" borderId="42" xfId="0" applyNumberFormat="1" applyFont="1" applyFill="1" applyBorder="1" applyAlignment="1" applyProtection="1">
      <alignment horizontal="left" vertical="center" wrapText="1" indent="1"/>
      <protection hidden="1"/>
    </xf>
    <xf numFmtId="0" fontId="0" fillId="0" borderId="0" xfId="0" applyAlignment="1">
      <alignment horizontal="center"/>
    </xf>
    <xf numFmtId="0" fontId="0" fillId="30" borderId="0" xfId="0" applyFill="1" applyAlignment="1">
      <alignment horizontal="center"/>
    </xf>
    <xf numFmtId="0" fontId="7" fillId="4" borderId="3" xfId="0" applyFont="1" applyFill="1" applyBorder="1" applyAlignment="1" applyProtection="1">
      <alignment horizontal="left" vertical="center"/>
      <protection locked="0"/>
    </xf>
    <xf numFmtId="0" fontId="7" fillId="4" borderId="6" xfId="0" applyFont="1" applyFill="1" applyBorder="1" applyAlignment="1" applyProtection="1">
      <alignment horizontal="left" vertical="center"/>
      <protection locked="0"/>
    </xf>
    <xf numFmtId="49" fontId="7" fillId="4" borderId="6" xfId="0" applyNumberFormat="1" applyFont="1" applyFill="1" applyBorder="1" applyAlignment="1" applyProtection="1">
      <alignment horizontal="left" vertical="center"/>
      <protection locked="0"/>
    </xf>
    <xf numFmtId="0" fontId="37" fillId="4" borderId="0" xfId="1" applyFill="1" applyBorder="1" applyProtection="1">
      <protection locked="0"/>
    </xf>
    <xf numFmtId="0" fontId="0" fillId="26" borderId="0" xfId="0" applyFill="1" applyAlignment="1">
      <alignment wrapText="1"/>
    </xf>
    <xf numFmtId="0" fontId="0" fillId="38" borderId="0" xfId="0" applyFill="1" applyAlignment="1">
      <alignment wrapText="1"/>
    </xf>
    <xf numFmtId="0" fontId="0" fillId="4" borderId="4" xfId="1" applyFont="1" applyFill="1" applyBorder="1" applyAlignment="1" applyProtection="1">
      <alignment horizontal="left" vertical="center"/>
      <protection locked="0"/>
    </xf>
    <xf numFmtId="0" fontId="55" fillId="0" borderId="0" xfId="0" applyFont="1" applyAlignment="1" applyProtection="1">
      <alignment horizontal="left" indent="1"/>
      <protection hidden="1"/>
    </xf>
    <xf numFmtId="0" fontId="6" fillId="0" borderId="0" xfId="0" applyFont="1" applyProtection="1">
      <protection hidden="1"/>
    </xf>
    <xf numFmtId="0" fontId="6" fillId="0" borderId="0" xfId="0" applyFont="1" applyAlignment="1" applyProtection="1">
      <alignment horizontal="center"/>
      <protection hidden="1"/>
    </xf>
    <xf numFmtId="0" fontId="6" fillId="0" borderId="0" xfId="0" applyFont="1" applyAlignment="1" applyProtection="1">
      <alignment horizontal="left" indent="1"/>
      <protection hidden="1"/>
    </xf>
    <xf numFmtId="49" fontId="37" fillId="4" borderId="6" xfId="1" applyNumberFormat="1" applyFill="1" applyBorder="1" applyAlignment="1" applyProtection="1">
      <alignment horizontal="left" vertical="center"/>
      <protection locked="0"/>
    </xf>
    <xf numFmtId="0" fontId="123" fillId="23" borderId="0" xfId="0" applyFont="1" applyFill="1" applyAlignment="1" applyProtection="1">
      <alignment vertical="center"/>
      <protection hidden="1"/>
    </xf>
    <xf numFmtId="0" fontId="38" fillId="4" borderId="0" xfId="0" applyFont="1" applyFill="1" applyBorder="1" applyAlignment="1" applyProtection="1">
      <alignment horizontal="right" indent="1"/>
      <protection hidden="1"/>
    </xf>
    <xf numFmtId="0" fontId="37" fillId="4" borderId="4" xfId="1" applyFill="1" applyBorder="1" applyAlignment="1" applyProtection="1">
      <alignment horizontal="left" vertical="center"/>
      <protection locked="0"/>
    </xf>
    <xf numFmtId="49" fontId="6" fillId="0" borderId="6" xfId="0" applyNumberFormat="1" applyFont="1" applyBorder="1" applyAlignment="1" applyProtection="1">
      <alignment horizontal="left" vertical="center" wrapText="1" indent="1"/>
      <protection locked="0"/>
    </xf>
    <xf numFmtId="14" fontId="6" fillId="0" borderId="6" xfId="0" applyNumberFormat="1" applyFont="1" applyBorder="1" applyAlignment="1" applyProtection="1">
      <alignment horizontal="left" vertical="center" wrapText="1" indent="1"/>
      <protection locked="0"/>
    </xf>
    <xf numFmtId="0" fontId="6" fillId="0" borderId="4" xfId="0" applyFont="1" applyBorder="1" applyAlignment="1" applyProtection="1">
      <alignment horizontal="left" vertical="center" wrapText="1" indent="1"/>
      <protection locked="0"/>
    </xf>
    <xf numFmtId="49" fontId="6" fillId="0" borderId="4" xfId="0" applyNumberFormat="1" applyFont="1" applyBorder="1" applyAlignment="1" applyProtection="1">
      <alignment horizontal="left" vertical="center" wrapText="1" indent="1"/>
      <protection locked="0"/>
    </xf>
    <xf numFmtId="0" fontId="74" fillId="4" borderId="8" xfId="0" applyFont="1" applyFill="1" applyBorder="1" applyAlignment="1" applyProtection="1">
      <alignment vertical="center"/>
      <protection hidden="1"/>
    </xf>
    <xf numFmtId="0" fontId="122" fillId="0" borderId="0" xfId="0" applyFont="1" applyAlignment="1" applyProtection="1">
      <alignment horizontal="right" vertical="top"/>
      <protection hidden="1"/>
    </xf>
    <xf numFmtId="0" fontId="37" fillId="4" borderId="59" xfId="1" applyFill="1" applyBorder="1" applyProtection="1">
      <protection locked="0"/>
    </xf>
    <xf numFmtId="0" fontId="55" fillId="0" borderId="0" xfId="0" applyFont="1" applyAlignment="1" applyProtection="1">
      <alignment horizontal="left" vertical="center"/>
      <protection hidden="1"/>
    </xf>
    <xf numFmtId="0" fontId="55" fillId="0" borderId="0" xfId="0" applyFont="1" applyFill="1" applyProtection="1">
      <protection hidden="1"/>
    </xf>
    <xf numFmtId="0" fontId="124" fillId="36" borderId="0" xfId="0" applyFont="1" applyFill="1" applyBorder="1" applyAlignment="1" applyProtection="1">
      <alignment horizontal="center" vertical="center"/>
      <protection hidden="1"/>
    </xf>
    <xf numFmtId="0" fontId="0" fillId="4" borderId="14" xfId="0" applyFill="1" applyBorder="1" applyAlignment="1" applyProtection="1">
      <alignment horizontal="left" indent="1"/>
      <protection hidden="1"/>
    </xf>
    <xf numFmtId="0" fontId="0" fillId="4" borderId="0" xfId="0" applyFill="1" applyBorder="1" applyProtection="1">
      <protection hidden="1"/>
    </xf>
    <xf numFmtId="0" fontId="0" fillId="4" borderId="15" xfId="0" applyFill="1" applyBorder="1" applyProtection="1">
      <protection hidden="1"/>
    </xf>
    <xf numFmtId="0" fontId="0" fillId="4" borderId="16" xfId="0" applyFill="1" applyBorder="1" applyProtection="1">
      <protection hidden="1"/>
    </xf>
    <xf numFmtId="0" fontId="0" fillId="4" borderId="8" xfId="0" applyFill="1" applyBorder="1" applyProtection="1">
      <protection hidden="1"/>
    </xf>
    <xf numFmtId="0" fontId="33" fillId="4" borderId="15" xfId="0" applyFont="1" applyFill="1" applyBorder="1" applyAlignment="1" applyProtection="1">
      <alignment wrapText="1"/>
      <protection hidden="1"/>
    </xf>
    <xf numFmtId="0" fontId="33" fillId="4" borderId="16" xfId="0" applyFont="1" applyFill="1" applyBorder="1" applyAlignment="1" applyProtection="1">
      <alignment wrapText="1"/>
      <protection hidden="1"/>
    </xf>
    <xf numFmtId="0" fontId="33" fillId="4" borderId="14" xfId="0" applyFont="1" applyFill="1" applyBorder="1" applyAlignment="1" applyProtection="1">
      <alignment horizontal="left" wrapText="1" indent="1"/>
      <protection hidden="1"/>
    </xf>
    <xf numFmtId="0" fontId="33" fillId="4" borderId="0" xfId="0" applyFont="1" applyFill="1" applyBorder="1" applyAlignment="1" applyProtection="1">
      <alignment wrapText="1"/>
      <protection hidden="1"/>
    </xf>
    <xf numFmtId="0" fontId="33" fillId="4" borderId="13" xfId="0" applyFont="1" applyFill="1" applyBorder="1" applyAlignment="1" applyProtection="1">
      <alignment wrapText="1"/>
      <protection hidden="1"/>
    </xf>
    <xf numFmtId="0" fontId="0" fillId="4" borderId="8" xfId="0" applyFill="1" applyBorder="1" applyAlignment="1" applyProtection="1">
      <alignment horizontal="left" indent="1"/>
      <protection hidden="1"/>
    </xf>
    <xf numFmtId="0" fontId="33" fillId="4" borderId="24" xfId="0" applyFont="1" applyFill="1" applyBorder="1" applyAlignment="1" applyProtection="1">
      <alignment horizontal="left" wrapText="1" indent="1"/>
      <protection hidden="1"/>
    </xf>
    <xf numFmtId="0" fontId="33" fillId="4" borderId="17" xfId="0" applyFont="1" applyFill="1" applyBorder="1" applyAlignment="1" applyProtection="1">
      <alignment wrapText="1"/>
      <protection hidden="1"/>
    </xf>
    <xf numFmtId="0" fontId="33" fillId="4" borderId="18" xfId="0" applyFont="1" applyFill="1" applyBorder="1" applyAlignment="1" applyProtection="1">
      <alignment wrapText="1"/>
      <protection hidden="1"/>
    </xf>
    <xf numFmtId="0" fontId="0" fillId="4" borderId="8" xfId="0" applyFill="1" applyBorder="1" applyAlignment="1" applyProtection="1">
      <protection hidden="1"/>
    </xf>
    <xf numFmtId="0" fontId="45" fillId="4" borderId="8" xfId="0" applyFont="1" applyFill="1" applyBorder="1" applyAlignment="1" applyProtection="1">
      <alignment horizontal="left" vertical="top" indent="1"/>
      <protection hidden="1"/>
    </xf>
    <xf numFmtId="0" fontId="45" fillId="4" borderId="8" xfId="0" applyFont="1" applyFill="1" applyBorder="1" applyAlignment="1" applyProtection="1">
      <protection hidden="1"/>
    </xf>
    <xf numFmtId="0" fontId="45" fillId="4" borderId="8" xfId="0" quotePrefix="1" applyFont="1" applyFill="1" applyBorder="1" applyAlignment="1" applyProtection="1">
      <protection hidden="1"/>
    </xf>
    <xf numFmtId="0" fontId="48" fillId="4" borderId="8" xfId="0" applyFont="1" applyFill="1" applyBorder="1" applyAlignment="1" applyProtection="1">
      <protection hidden="1"/>
    </xf>
    <xf numFmtId="0" fontId="69" fillId="4" borderId="8" xfId="1" applyFont="1" applyFill="1" applyBorder="1" applyProtection="1">
      <protection hidden="1"/>
    </xf>
    <xf numFmtId="0" fontId="48" fillId="4" borderId="8" xfId="0" applyFont="1" applyFill="1" applyBorder="1" applyProtection="1">
      <protection hidden="1"/>
    </xf>
    <xf numFmtId="0" fontId="85" fillId="4" borderId="8" xfId="0" applyFont="1" applyFill="1" applyBorder="1" applyAlignment="1" applyProtection="1">
      <alignment horizontal="left" indent="1"/>
      <protection hidden="1"/>
    </xf>
    <xf numFmtId="0" fontId="45" fillId="4" borderId="8" xfId="0" applyFont="1" applyFill="1" applyBorder="1" applyProtection="1">
      <protection hidden="1"/>
    </xf>
    <xf numFmtId="0" fontId="45" fillId="4" borderId="8" xfId="0" applyFont="1" applyFill="1" applyBorder="1" applyAlignment="1" applyProtection="1">
      <alignment horizontal="left" indent="1"/>
      <protection hidden="1"/>
    </xf>
    <xf numFmtId="0" fontId="104" fillId="4" borderId="62" xfId="0" applyFont="1" applyFill="1" applyBorder="1" applyAlignment="1" applyProtection="1">
      <alignment horizontal="left" indent="1"/>
      <protection hidden="1"/>
    </xf>
    <xf numFmtId="0" fontId="45" fillId="4" borderId="62" xfId="0" applyFont="1" applyFill="1" applyBorder="1" applyProtection="1">
      <protection hidden="1"/>
    </xf>
    <xf numFmtId="0" fontId="45" fillId="4" borderId="0" xfId="0" applyFont="1" applyFill="1" applyBorder="1" applyProtection="1">
      <protection hidden="1"/>
    </xf>
    <xf numFmtId="0" fontId="0" fillId="4" borderId="10" xfId="0" applyFill="1" applyBorder="1" applyProtection="1">
      <protection hidden="1"/>
    </xf>
    <xf numFmtId="0" fontId="45" fillId="4" borderId="9" xfId="0" applyFont="1" applyFill="1" applyBorder="1" applyAlignment="1" applyProtection="1">
      <alignment horizontal="left" indent="1"/>
      <protection hidden="1"/>
    </xf>
    <xf numFmtId="0" fontId="45" fillId="4" borderId="9" xfId="0" applyFont="1" applyFill="1" applyBorder="1" applyProtection="1">
      <protection hidden="1"/>
    </xf>
    <xf numFmtId="0" fontId="74" fillId="4" borderId="8" xfId="0" applyFont="1" applyFill="1" applyBorder="1" applyAlignment="1" applyProtection="1">
      <alignment vertical="center" wrapText="1"/>
      <protection hidden="1"/>
    </xf>
    <xf numFmtId="0" fontId="77" fillId="4" borderId="10" xfId="0" applyFont="1" applyFill="1" applyBorder="1" applyAlignment="1" applyProtection="1">
      <alignment horizontal="left"/>
      <protection hidden="1"/>
    </xf>
    <xf numFmtId="0" fontId="35" fillId="4" borderId="13" xfId="0" applyFont="1" applyFill="1" applyBorder="1" applyProtection="1">
      <protection hidden="1"/>
    </xf>
    <xf numFmtId="0" fontId="35" fillId="0" borderId="21" xfId="0" applyFont="1" applyBorder="1" applyProtection="1">
      <protection hidden="1"/>
    </xf>
    <xf numFmtId="0" fontId="55" fillId="4" borderId="0" xfId="0" quotePrefix="1" applyFont="1" applyFill="1" applyBorder="1" applyAlignment="1" applyProtection="1">
      <alignment vertical="top" wrapText="1"/>
      <protection hidden="1"/>
    </xf>
    <xf numFmtId="0" fontId="12" fillId="4" borderId="6" xfId="0" applyFont="1" applyFill="1" applyBorder="1" applyAlignment="1" applyProtection="1">
      <alignment horizontal="right" indent="1"/>
      <protection hidden="1"/>
    </xf>
    <xf numFmtId="0" fontId="7" fillId="4" borderId="4" xfId="0" applyFont="1" applyFill="1" applyBorder="1" applyAlignment="1" applyProtection="1">
      <alignment horizontal="right" indent="1"/>
      <protection hidden="1"/>
    </xf>
    <xf numFmtId="0" fontId="55" fillId="4" borderId="19" xfId="0" quotePrefix="1" applyFont="1" applyFill="1" applyBorder="1" applyAlignment="1" applyProtection="1">
      <alignment vertical="top" wrapText="1"/>
      <protection hidden="1"/>
    </xf>
    <xf numFmtId="0" fontId="113" fillId="4" borderId="0" xfId="0" quotePrefix="1" applyFont="1" applyFill="1" applyBorder="1" applyAlignment="1" applyProtection="1">
      <alignment horizontal="left" vertical="top" wrapText="1"/>
      <protection hidden="1"/>
    </xf>
    <xf numFmtId="0" fontId="55" fillId="4" borderId="20" xfId="0" applyFont="1" applyFill="1" applyBorder="1" applyProtection="1">
      <protection hidden="1"/>
    </xf>
    <xf numFmtId="0" fontId="55" fillId="4" borderId="9" xfId="0" applyFont="1" applyFill="1" applyBorder="1" applyProtection="1">
      <protection hidden="1"/>
    </xf>
    <xf numFmtId="0" fontId="55" fillId="4" borderId="13" xfId="0" applyFont="1" applyFill="1" applyBorder="1" applyProtection="1">
      <protection hidden="1"/>
    </xf>
    <xf numFmtId="0" fontId="55" fillId="4" borderId="11" xfId="0" applyFont="1" applyFill="1" applyBorder="1" applyProtection="1">
      <protection hidden="1"/>
    </xf>
    <xf numFmtId="0" fontId="62" fillId="4" borderId="65" xfId="0" applyFont="1" applyFill="1" applyBorder="1" applyAlignment="1" applyProtection="1">
      <alignment vertical="center" wrapText="1"/>
      <protection hidden="1"/>
    </xf>
    <xf numFmtId="0" fontId="55" fillId="4" borderId="65" xfId="0" applyFont="1" applyFill="1" applyBorder="1" applyAlignment="1" applyProtection="1">
      <alignment vertical="center" wrapText="1"/>
      <protection hidden="1"/>
    </xf>
    <xf numFmtId="0" fontId="12" fillId="4" borderId="4" xfId="0" applyFont="1" applyFill="1" applyBorder="1" applyAlignment="1" applyProtection="1">
      <alignment horizontal="right" indent="1"/>
      <protection hidden="1"/>
    </xf>
    <xf numFmtId="0" fontId="55" fillId="4" borderId="18" xfId="0" applyFont="1" applyFill="1" applyBorder="1" applyProtection="1">
      <protection hidden="1"/>
    </xf>
    <xf numFmtId="0" fontId="55" fillId="4" borderId="9" xfId="0" applyFont="1" applyFill="1" applyBorder="1" applyAlignment="1" applyProtection="1">
      <protection hidden="1"/>
    </xf>
    <xf numFmtId="0" fontId="33" fillId="4" borderId="8" xfId="0" applyFont="1" applyFill="1" applyBorder="1" applyAlignment="1" applyProtection="1">
      <alignment vertical="top"/>
      <protection hidden="1"/>
    </xf>
    <xf numFmtId="0" fontId="62" fillId="4" borderId="0" xfId="0" applyFont="1" applyFill="1" applyBorder="1" applyAlignment="1" applyProtection="1">
      <alignment vertical="center"/>
      <protection hidden="1"/>
    </xf>
    <xf numFmtId="0" fontId="33" fillId="4" borderId="33" xfId="0" applyFont="1" applyFill="1" applyBorder="1" applyAlignment="1" applyProtection="1">
      <alignment horizontal="left" vertical="top"/>
      <protection hidden="1"/>
    </xf>
    <xf numFmtId="0" fontId="62" fillId="4" borderId="17" xfId="0" applyFont="1" applyFill="1" applyBorder="1" applyAlignment="1" applyProtection="1">
      <alignment vertical="top" wrapText="1"/>
      <protection hidden="1"/>
    </xf>
    <xf numFmtId="0" fontId="55" fillId="4" borderId="17" xfId="0" applyFont="1" applyFill="1" applyBorder="1" applyAlignment="1" applyProtection="1">
      <alignment vertical="top" wrapText="1"/>
      <protection hidden="1"/>
    </xf>
    <xf numFmtId="0" fontId="55" fillId="4" borderId="18" xfId="0" applyFont="1" applyFill="1" applyBorder="1" applyAlignment="1" applyProtection="1">
      <alignment vertical="top" wrapText="1"/>
      <protection hidden="1"/>
    </xf>
    <xf numFmtId="0" fontId="47" fillId="4" borderId="1" xfId="0" applyFont="1" applyFill="1" applyBorder="1" applyAlignment="1" applyProtection="1">
      <alignment horizontal="left" vertical="center" wrapText="1" indent="1"/>
      <protection locked="0"/>
    </xf>
    <xf numFmtId="0" fontId="53" fillId="4" borderId="29" xfId="0" applyFont="1" applyFill="1" applyBorder="1" applyAlignment="1" applyProtection="1">
      <alignment horizontal="center" vertical="center"/>
      <protection locked="0"/>
    </xf>
    <xf numFmtId="0" fontId="53" fillId="4" borderId="30" xfId="0" applyFont="1" applyFill="1" applyBorder="1" applyAlignment="1" applyProtection="1">
      <alignment horizontal="center" vertical="center"/>
      <protection locked="0"/>
    </xf>
    <xf numFmtId="0" fontId="53" fillId="4" borderId="38" xfId="0" applyFont="1" applyFill="1" applyBorder="1" applyAlignment="1" applyProtection="1">
      <alignment horizontal="center" vertical="center"/>
      <protection locked="0"/>
    </xf>
    <xf numFmtId="0" fontId="53" fillId="4" borderId="39" xfId="0" applyFont="1" applyFill="1" applyBorder="1" applyAlignment="1" applyProtection="1">
      <alignment horizontal="center" vertical="center"/>
      <protection locked="0"/>
    </xf>
    <xf numFmtId="0" fontId="87" fillId="4" borderId="0" xfId="0" applyFont="1" applyFill="1" applyBorder="1" applyAlignment="1" applyProtection="1">
      <alignment horizontal="center"/>
      <protection locked="0"/>
    </xf>
    <xf numFmtId="0" fontId="87" fillId="4" borderId="59" xfId="0" applyFont="1" applyFill="1" applyBorder="1" applyAlignment="1" applyProtection="1">
      <alignment horizontal="center"/>
      <protection locked="0"/>
    </xf>
    <xf numFmtId="0" fontId="7" fillId="4" borderId="59" xfId="0" applyFont="1" applyFill="1" applyBorder="1" applyAlignment="1" applyProtection="1">
      <alignment horizontal="center"/>
      <protection locked="0"/>
    </xf>
    <xf numFmtId="0" fontId="11" fillId="4" borderId="59" xfId="0" applyFont="1" applyFill="1" applyBorder="1" applyAlignment="1" applyProtection="1">
      <alignment horizontal="center"/>
      <protection locked="0"/>
    </xf>
    <xf numFmtId="0" fontId="87" fillId="4" borderId="68" xfId="0" applyFont="1" applyFill="1" applyBorder="1" applyAlignment="1" applyProtection="1">
      <alignment horizontal="center"/>
      <protection locked="0"/>
    </xf>
    <xf numFmtId="0" fontId="87" fillId="4" borderId="68" xfId="0" applyFont="1" applyFill="1" applyBorder="1" applyProtection="1">
      <protection locked="0"/>
    </xf>
    <xf numFmtId="0" fontId="37" fillId="4" borderId="68" xfId="1" applyFill="1" applyBorder="1" applyProtection="1">
      <protection locked="0"/>
    </xf>
    <xf numFmtId="49" fontId="87" fillId="4" borderId="68" xfId="0" applyNumberFormat="1" applyFont="1" applyFill="1" applyBorder="1" applyProtection="1">
      <protection locked="0"/>
    </xf>
    <xf numFmtId="0" fontId="87" fillId="4" borderId="69" xfId="0" applyFont="1" applyFill="1" applyBorder="1" applyAlignment="1" applyProtection="1">
      <alignment horizontal="center"/>
      <protection locked="0"/>
    </xf>
    <xf numFmtId="0" fontId="87" fillId="4" borderId="69" xfId="0" applyFont="1" applyFill="1" applyBorder="1" applyProtection="1">
      <protection locked="0"/>
    </xf>
    <xf numFmtId="0" fontId="120" fillId="4" borderId="69" xfId="1" applyFont="1" applyFill="1" applyBorder="1" applyProtection="1">
      <protection locked="0"/>
    </xf>
    <xf numFmtId="49" fontId="87" fillId="4" borderId="69" xfId="0" applyNumberFormat="1" applyFont="1" applyFill="1" applyBorder="1" applyProtection="1">
      <protection locked="0"/>
    </xf>
    <xf numFmtId="0" fontId="87" fillId="4" borderId="67" xfId="0" applyFont="1" applyFill="1" applyBorder="1" applyAlignment="1" applyProtection="1">
      <alignment horizontal="center"/>
      <protection locked="0"/>
    </xf>
    <xf numFmtId="0" fontId="87" fillId="4" borderId="67" xfId="0" applyFont="1" applyFill="1" applyBorder="1" applyProtection="1">
      <protection locked="0"/>
    </xf>
    <xf numFmtId="0" fontId="37" fillId="4" borderId="67" xfId="1" applyFill="1" applyBorder="1" applyProtection="1">
      <protection locked="0"/>
    </xf>
    <xf numFmtId="49" fontId="87" fillId="4" borderId="67" xfId="0" applyNumberFormat="1" applyFont="1" applyFill="1" applyBorder="1" applyProtection="1">
      <protection locked="0"/>
    </xf>
    <xf numFmtId="0" fontId="0" fillId="0" borderId="0" xfId="0" applyBorder="1" applyProtection="1">
      <protection hidden="1"/>
    </xf>
    <xf numFmtId="0" fontId="0" fillId="0" borderId="10" xfId="0" applyBorder="1" applyProtection="1">
      <protection hidden="1"/>
    </xf>
    <xf numFmtId="0" fontId="11" fillId="4" borderId="9" xfId="0" applyFont="1" applyFill="1" applyBorder="1" applyAlignment="1" applyProtection="1">
      <alignment horizontal="left" vertical="center" indent="3"/>
      <protection hidden="1"/>
    </xf>
    <xf numFmtId="0" fontId="11" fillId="0" borderId="0" xfId="0" applyFont="1" applyAlignment="1" applyProtection="1">
      <alignment horizontal="left" indent="3"/>
      <protection hidden="1"/>
    </xf>
    <xf numFmtId="0" fontId="0" fillId="4" borderId="0" xfId="0" applyFill="1" applyBorder="1" applyAlignment="1" applyProtection="1">
      <alignment vertical="center"/>
      <protection hidden="1"/>
    </xf>
    <xf numFmtId="0" fontId="35" fillId="6" borderId="5" xfId="0" applyFont="1" applyFill="1" applyBorder="1" applyAlignment="1" applyProtection="1">
      <alignment horizontal="left" vertical="center" indent="3"/>
      <protection hidden="1"/>
    </xf>
    <xf numFmtId="0" fontId="0" fillId="0" borderId="10" xfId="0" applyBorder="1" applyAlignment="1" applyProtection="1">
      <protection hidden="1"/>
    </xf>
    <xf numFmtId="0" fontId="0" fillId="0" borderId="8" xfId="0" applyBorder="1" applyAlignment="1" applyProtection="1">
      <protection hidden="1"/>
    </xf>
    <xf numFmtId="0" fontId="11" fillId="3" borderId="3" xfId="0" applyFont="1" applyFill="1" applyBorder="1" applyAlignment="1" applyProtection="1">
      <alignment horizontal="right" vertical="center"/>
      <protection hidden="1"/>
    </xf>
    <xf numFmtId="0" fontId="0" fillId="0" borderId="8" xfId="0" applyBorder="1" applyAlignment="1" applyProtection="1">
      <alignment vertical="center"/>
      <protection hidden="1"/>
    </xf>
    <xf numFmtId="0" fontId="11" fillId="3" borderId="6" xfId="0" applyFont="1" applyFill="1" applyBorder="1" applyAlignment="1" applyProtection="1">
      <alignment horizontal="right" vertical="center"/>
      <protection hidden="1"/>
    </xf>
    <xf numFmtId="0" fontId="40" fillId="0" borderId="8" xfId="0" applyFont="1" applyBorder="1" applyAlignment="1" applyProtection="1">
      <alignment horizontal="center" vertical="center"/>
      <protection hidden="1"/>
    </xf>
    <xf numFmtId="0" fontId="11" fillId="3" borderId="6" xfId="0" applyFont="1" applyFill="1" applyBorder="1" applyAlignment="1" applyProtection="1">
      <alignment horizontal="right" vertical="center" wrapText="1"/>
      <protection hidden="1"/>
    </xf>
    <xf numFmtId="0" fontId="11" fillId="3" borderId="4" xfId="0" applyFont="1" applyFill="1" applyBorder="1" applyAlignment="1" applyProtection="1">
      <alignment horizontal="right" vertical="center" wrapText="1"/>
      <protection hidden="1"/>
    </xf>
    <xf numFmtId="0" fontId="0" fillId="0" borderId="11" xfId="0" applyBorder="1" applyProtection="1">
      <protection hidden="1"/>
    </xf>
    <xf numFmtId="0" fontId="40" fillId="4" borderId="9" xfId="0" applyFont="1" applyFill="1" applyBorder="1" applyAlignment="1" applyProtection="1">
      <alignment wrapText="1"/>
      <protection hidden="1"/>
    </xf>
    <xf numFmtId="0" fontId="46" fillId="4" borderId="43" xfId="0" applyFont="1" applyFill="1" applyBorder="1" applyAlignment="1" applyProtection="1">
      <alignment horizontal="left" vertical="center" wrapText="1" indent="1"/>
      <protection hidden="1"/>
    </xf>
    <xf numFmtId="0" fontId="46" fillId="4" borderId="0" xfId="0" applyFont="1" applyFill="1" applyAlignment="1" applyProtection="1">
      <alignment horizontal="left" wrapText="1" indent="2"/>
      <protection hidden="1"/>
    </xf>
    <xf numFmtId="0" fontId="46" fillId="4" borderId="0" xfId="0" applyFont="1" applyFill="1" applyBorder="1" applyAlignment="1" applyProtection="1">
      <alignment horizontal="left" wrapText="1" indent="2"/>
      <protection hidden="1"/>
    </xf>
    <xf numFmtId="0" fontId="46" fillId="4" borderId="0" xfId="0" applyFont="1" applyFill="1" applyAlignment="1" applyProtection="1">
      <alignment horizontal="left" vertical="center" wrapText="1" indent="1"/>
      <protection hidden="1"/>
    </xf>
    <xf numFmtId="0" fontId="46" fillId="4" borderId="0" xfId="0" applyFont="1" applyFill="1" applyAlignment="1" applyProtection="1">
      <alignment horizontal="left" wrapText="1" indent="1"/>
      <protection hidden="1"/>
    </xf>
    <xf numFmtId="0" fontId="46" fillId="4" borderId="0" xfId="0" applyFont="1" applyFill="1" applyAlignment="1" applyProtection="1">
      <alignment horizontal="left" vertical="center" wrapText="1" indent="2"/>
      <protection hidden="1"/>
    </xf>
    <xf numFmtId="0" fontId="46" fillId="0" borderId="43" xfId="0" applyFont="1" applyFill="1" applyBorder="1" applyAlignment="1" applyProtection="1">
      <alignment horizontal="left" vertical="center" wrapText="1" indent="1"/>
      <protection hidden="1"/>
    </xf>
    <xf numFmtId="0" fontId="46" fillId="4" borderId="43" xfId="0" applyFont="1" applyFill="1" applyBorder="1" applyAlignment="1" applyProtection="1">
      <alignment horizontal="left" vertical="center"/>
      <protection hidden="1"/>
    </xf>
    <xf numFmtId="0" fontId="5" fillId="4" borderId="0" xfId="0" applyFont="1" applyFill="1" applyAlignment="1" applyProtection="1">
      <alignment vertical="center"/>
      <protection hidden="1"/>
    </xf>
    <xf numFmtId="0" fontId="46" fillId="4" borderId="0" xfId="0" applyFont="1" applyFill="1" applyBorder="1" applyAlignment="1" applyProtection="1">
      <alignment horizontal="left" vertical="center"/>
      <protection hidden="1"/>
    </xf>
    <xf numFmtId="0" fontId="46" fillId="4" borderId="0" xfId="0" applyFont="1" applyFill="1" applyBorder="1" applyAlignment="1" applyProtection="1">
      <alignment horizontal="left"/>
      <protection hidden="1"/>
    </xf>
    <xf numFmtId="0" fontId="46" fillId="4" borderId="0" xfId="0" applyFont="1" applyFill="1" applyBorder="1" applyAlignment="1" applyProtection="1">
      <alignment horizontal="left" vertical="center" indent="1"/>
      <protection hidden="1"/>
    </xf>
    <xf numFmtId="0" fontId="5" fillId="4" borderId="0" xfId="0" applyFont="1" applyFill="1" applyAlignment="1" applyProtection="1">
      <alignment horizontal="left" wrapText="1" indent="2"/>
      <protection hidden="1"/>
    </xf>
    <xf numFmtId="0" fontId="125" fillId="4" borderId="0" xfId="1" applyFont="1" applyFill="1" applyAlignment="1" applyProtection="1">
      <alignment horizontal="left" wrapText="1" indent="2"/>
      <protection hidden="1"/>
    </xf>
    <xf numFmtId="0" fontId="55" fillId="4" borderId="0" xfId="0" applyFont="1" applyFill="1" applyAlignment="1" applyProtection="1">
      <alignment horizontal="left" wrapText="1"/>
      <protection hidden="1"/>
    </xf>
    <xf numFmtId="0" fontId="0" fillId="4" borderId="0" xfId="1" applyFont="1" applyFill="1" applyBorder="1" applyProtection="1">
      <protection locked="0"/>
    </xf>
    <xf numFmtId="0" fontId="37" fillId="4" borderId="15" xfId="1" applyFill="1" applyBorder="1" applyAlignment="1" applyProtection="1">
      <alignment vertical="center"/>
      <protection hidden="1"/>
    </xf>
    <xf numFmtId="0" fontId="37" fillId="4" borderId="16" xfId="1" applyFill="1" applyBorder="1" applyAlignment="1" applyProtection="1">
      <alignment vertical="center"/>
      <protection hidden="1"/>
    </xf>
    <xf numFmtId="0" fontId="4" fillId="5" borderId="6" xfId="0" applyFont="1" applyFill="1" applyBorder="1" applyAlignment="1" applyProtection="1">
      <alignment horizontal="right" vertical="center" wrapText="1" indent="1"/>
      <protection hidden="1"/>
    </xf>
    <xf numFmtId="0" fontId="4" fillId="4" borderId="6" xfId="0" applyFont="1" applyFill="1" applyBorder="1" applyAlignment="1" applyProtection="1">
      <alignment horizontal="left" vertical="center"/>
      <protection locked="0"/>
    </xf>
    <xf numFmtId="0" fontId="44" fillId="4" borderId="0" xfId="0" quotePrefix="1" applyFont="1" applyFill="1" applyBorder="1" applyAlignment="1" applyProtection="1">
      <alignment vertical="top" wrapText="1"/>
      <protection hidden="1"/>
    </xf>
    <xf numFmtId="0" fontId="37" fillId="4" borderId="15" xfId="1" applyFill="1" applyBorder="1" applyAlignment="1" applyProtection="1">
      <alignment vertical="top"/>
      <protection hidden="1"/>
    </xf>
    <xf numFmtId="49" fontId="4" fillId="4" borderId="6" xfId="0" applyNumberFormat="1"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127" fillId="0" borderId="0" xfId="0" applyFont="1" applyProtection="1">
      <protection hidden="1"/>
    </xf>
    <xf numFmtId="0" fontId="127" fillId="0" borderId="0" xfId="0" applyFont="1" applyAlignment="1" applyProtection="1">
      <alignment vertical="center"/>
      <protection hidden="1"/>
    </xf>
    <xf numFmtId="0" fontId="3" fillId="0" borderId="3" xfId="0" applyFont="1" applyBorder="1" applyAlignment="1" applyProtection="1">
      <alignment horizontal="left" vertical="center" wrapText="1" indent="1"/>
      <protection locked="0"/>
    </xf>
    <xf numFmtId="49" fontId="3" fillId="0" borderId="6" xfId="0" applyNumberFormat="1"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49" fontId="3" fillId="0" borderId="3" xfId="0" applyNumberFormat="1" applyFont="1" applyBorder="1" applyAlignment="1" applyProtection="1">
      <alignment horizontal="left" vertical="center" wrapText="1" indent="1"/>
      <protection locked="0"/>
    </xf>
    <xf numFmtId="0" fontId="31" fillId="23" borderId="0" xfId="0" applyFont="1" applyFill="1" applyAlignment="1" applyProtection="1">
      <alignment horizontal="center"/>
      <protection hidden="1"/>
    </xf>
    <xf numFmtId="0" fontId="31" fillId="23" borderId="0" xfId="0" applyFont="1" applyFill="1" applyProtection="1">
      <protection hidden="1"/>
    </xf>
    <xf numFmtId="0" fontId="3" fillId="23" borderId="0" xfId="0" applyFont="1" applyFill="1" applyAlignment="1" applyProtection="1">
      <alignment horizontal="left" vertical="center" wrapText="1" indent="1"/>
      <protection hidden="1"/>
    </xf>
    <xf numFmtId="0" fontId="3" fillId="0" borderId="0" xfId="0" applyFont="1" applyFill="1" applyAlignment="1" applyProtection="1">
      <alignment horizontal="left" vertical="center" wrapText="1" indent="1"/>
      <protection hidden="1"/>
    </xf>
    <xf numFmtId="0" fontId="0" fillId="0" borderId="0" xfId="0"/>
    <xf numFmtId="0" fontId="46" fillId="4" borderId="0" xfId="0" applyFont="1" applyFill="1" applyAlignment="1" applyProtection="1">
      <alignment horizontal="left" vertical="center" wrapText="1" indent="1"/>
      <protection hidden="1"/>
    </xf>
    <xf numFmtId="0" fontId="81" fillId="0" borderId="0" xfId="0" applyFont="1"/>
    <xf numFmtId="0" fontId="44" fillId="4" borderId="9" xfId="0" applyFont="1" applyFill="1" applyBorder="1" applyAlignment="1" applyProtection="1">
      <alignment vertical="center"/>
      <protection hidden="1"/>
    </xf>
    <xf numFmtId="0" fontId="2" fillId="0" borderId="6" xfId="0" applyFont="1" applyBorder="1" applyAlignment="1" applyProtection="1">
      <alignment horizontal="left" vertical="center" wrapText="1" indent="1"/>
      <protection locked="0"/>
    </xf>
    <xf numFmtId="0" fontId="55" fillId="4" borderId="43" xfId="0" applyFont="1" applyFill="1" applyBorder="1" applyAlignment="1" applyProtection="1">
      <alignment horizontal="left" vertical="center" wrapText="1" indent="1"/>
      <protection hidden="1"/>
    </xf>
    <xf numFmtId="0" fontId="130" fillId="0" borderId="8" xfId="0" applyFont="1" applyBorder="1" applyProtection="1">
      <protection hidden="1"/>
    </xf>
    <xf numFmtId="0" fontId="1" fillId="5" borderId="71" xfId="0" applyFont="1" applyFill="1" applyBorder="1" applyAlignment="1" applyProtection="1">
      <alignment horizontal="right" vertical="center" indent="1"/>
      <protection hidden="1"/>
    </xf>
    <xf numFmtId="0" fontId="63" fillId="0" borderId="10" xfId="0" applyFont="1" applyBorder="1" applyAlignment="1" applyProtection="1">
      <alignment horizontal="left" vertical="center" wrapText="1" indent="1"/>
      <protection hidden="1"/>
    </xf>
    <xf numFmtId="0" fontId="63" fillId="0" borderId="10" xfId="0" applyFont="1" applyBorder="1" applyAlignment="1" applyProtection="1">
      <alignment horizontal="left" wrapText="1" indent="1"/>
      <protection hidden="1"/>
    </xf>
    <xf numFmtId="0" fontId="40" fillId="0" borderId="0" xfId="0" applyFont="1" applyProtection="1">
      <protection hidden="1"/>
    </xf>
    <xf numFmtId="0" fontId="40" fillId="0" borderId="0" xfId="0" applyFont="1"/>
    <xf numFmtId="49" fontId="0" fillId="0" borderId="0" xfId="0" applyNumberFormat="1"/>
    <xf numFmtId="0" fontId="40" fillId="0" borderId="0" xfId="0" applyFont="1" applyAlignment="1" applyProtection="1">
      <alignment vertical="center"/>
      <protection hidden="1"/>
    </xf>
    <xf numFmtId="1" fontId="40" fillId="0" borderId="0" xfId="0" applyNumberFormat="1" applyFont="1" applyAlignment="1" applyProtection="1">
      <alignment vertical="center"/>
      <protection hidden="1"/>
    </xf>
    <xf numFmtId="0" fontId="0" fillId="0" borderId="0" xfId="0" applyAlignment="1">
      <alignment vertical="center"/>
    </xf>
    <xf numFmtId="0" fontId="0" fillId="0" borderId="0" xfId="0" applyNumberFormat="1" applyProtection="1">
      <protection locked="0"/>
    </xf>
    <xf numFmtId="166" fontId="45" fillId="0" borderId="0" xfId="0" applyNumberFormat="1" applyFont="1" applyBorder="1" applyAlignment="1" applyProtection="1">
      <alignment horizontal="left" vertical="center" indent="1"/>
      <protection locked="0"/>
    </xf>
    <xf numFmtId="0" fontId="0" fillId="0" borderId="0" xfId="0" applyAlignment="1" applyProtection="1">
      <alignment wrapText="1"/>
      <protection locked="0"/>
    </xf>
    <xf numFmtId="49" fontId="0" fillId="0" borderId="0" xfId="0" applyNumberFormat="1" applyProtection="1">
      <protection locked="0"/>
    </xf>
    <xf numFmtId="0" fontId="0" fillId="0" borderId="0" xfId="0" applyProtection="1">
      <protection locked="0"/>
    </xf>
    <xf numFmtId="0" fontId="133" fillId="0" borderId="10" xfId="0" applyFont="1" applyBorder="1" applyAlignment="1" applyProtection="1">
      <alignment horizontal="left" indent="1"/>
      <protection hidden="1"/>
    </xf>
    <xf numFmtId="166" fontId="45" fillId="0" borderId="6" xfId="0" applyNumberFormat="1" applyFont="1" applyBorder="1" applyAlignment="1" applyProtection="1">
      <alignment horizontal="left" vertical="center" indent="1"/>
      <protection locked="0"/>
    </xf>
    <xf numFmtId="0" fontId="134" fillId="0" borderId="0" xfId="0" applyFont="1" applyBorder="1" applyAlignment="1" applyProtection="1">
      <alignment horizontal="left" vertical="center" indent="1"/>
      <protection locked="0"/>
    </xf>
    <xf numFmtId="0" fontId="90" fillId="0" borderId="8" xfId="0" applyFont="1" applyFill="1" applyBorder="1" applyProtection="1">
      <protection hidden="1"/>
    </xf>
    <xf numFmtId="0" fontId="63" fillId="4" borderId="17" xfId="0" applyFont="1" applyFill="1" applyBorder="1" applyAlignment="1" applyProtection="1">
      <alignment horizontal="left" vertical="center" wrapText="1" indent="1"/>
      <protection hidden="1"/>
    </xf>
    <xf numFmtId="0" fontId="37" fillId="0" borderId="8" xfId="1" applyBorder="1" applyAlignment="1" applyProtection="1">
      <alignment vertical="top"/>
      <protection hidden="1"/>
    </xf>
    <xf numFmtId="0" fontId="45" fillId="0" borderId="34" xfId="0" applyFont="1" applyBorder="1" applyAlignment="1" applyProtection="1">
      <alignment horizontal="left" vertical="center" indent="1"/>
      <protection locked="0"/>
    </xf>
    <xf numFmtId="0" fontId="1" fillId="5" borderId="72" xfId="0" applyFont="1" applyFill="1" applyBorder="1" applyAlignment="1" applyProtection="1">
      <alignment horizontal="right" vertical="center" wrapText="1" indent="1"/>
      <protection hidden="1"/>
    </xf>
    <xf numFmtId="0" fontId="1" fillId="0" borderId="0" xfId="2" applyFont="1"/>
    <xf numFmtId="0" fontId="38" fillId="4" borderId="0" xfId="0" applyFont="1" applyFill="1" applyBorder="1" applyAlignment="1" applyProtection="1">
      <alignment horizontal="right" vertical="center"/>
      <protection hidden="1"/>
    </xf>
    <xf numFmtId="0" fontId="74" fillId="4" borderId="0" xfId="0" applyFont="1" applyFill="1" applyBorder="1" applyAlignment="1" applyProtection="1">
      <alignment horizontal="right" vertical="center" wrapText="1" indent="1"/>
      <protection hidden="1"/>
    </xf>
    <xf numFmtId="165" fontId="45" fillId="4" borderId="0" xfId="0" applyNumberFormat="1" applyFont="1" applyFill="1" applyBorder="1" applyAlignment="1" applyProtection="1">
      <alignment horizontal="left" vertical="center" indent="1"/>
      <protection locked="0"/>
    </xf>
    <xf numFmtId="0" fontId="63" fillId="0" borderId="25" xfId="0" applyFont="1" applyBorder="1" applyAlignment="1" applyProtection="1">
      <alignment horizontal="left" vertical="center" wrapText="1" indent="1"/>
      <protection hidden="1"/>
    </xf>
    <xf numFmtId="0" fontId="45" fillId="4" borderId="0" xfId="0" applyFont="1" applyFill="1" applyBorder="1" applyAlignment="1" applyProtection="1">
      <alignment horizontal="left" vertical="center" indent="1"/>
      <protection locked="0"/>
    </xf>
    <xf numFmtId="49" fontId="45" fillId="4" borderId="0" xfId="0" applyNumberFormat="1" applyFont="1" applyFill="1" applyBorder="1" applyAlignment="1" applyProtection="1">
      <alignment horizontal="left" vertical="center" indent="1"/>
      <protection locked="0"/>
    </xf>
    <xf numFmtId="0" fontId="134" fillId="4" borderId="0" xfId="0" applyFont="1" applyFill="1" applyBorder="1" applyAlignment="1" applyProtection="1">
      <alignment horizontal="left" vertical="center" indent="1"/>
      <protection locked="0"/>
    </xf>
    <xf numFmtId="49" fontId="134" fillId="4" borderId="0" xfId="0" applyNumberFormat="1" applyFont="1" applyFill="1" applyBorder="1" applyAlignment="1" applyProtection="1">
      <alignment horizontal="left" vertical="center" indent="1"/>
      <protection locked="0"/>
    </xf>
    <xf numFmtId="0" fontId="1" fillId="5" borderId="45" xfId="0" applyFont="1" applyFill="1" applyBorder="1" applyAlignment="1" applyProtection="1">
      <alignment horizontal="right" wrapText="1" indent="1"/>
      <protection hidden="1"/>
    </xf>
    <xf numFmtId="0" fontId="38" fillId="4" borderId="0" xfId="0" applyFont="1" applyFill="1" applyBorder="1" applyAlignment="1" applyProtection="1">
      <alignment horizontal="right" vertical="center" wrapText="1" indent="1"/>
      <protection hidden="1"/>
    </xf>
    <xf numFmtId="0" fontId="46" fillId="0" borderId="0" xfId="0" applyFont="1" applyAlignment="1" applyProtection="1">
      <alignment horizontal="left" indent="13"/>
      <protection hidden="1"/>
    </xf>
    <xf numFmtId="0" fontId="46" fillId="0" borderId="0" xfId="0" applyFont="1" applyAlignment="1" applyProtection="1">
      <alignment horizontal="left" indent="14"/>
      <protection hidden="1"/>
    </xf>
    <xf numFmtId="0" fontId="55" fillId="0" borderId="0" xfId="0" applyFont="1" applyAlignment="1" applyProtection="1">
      <alignment wrapText="1"/>
      <protection hidden="1"/>
    </xf>
    <xf numFmtId="0" fontId="1" fillId="4" borderId="0" xfId="0" applyFont="1" applyFill="1" applyAlignment="1" applyProtection="1">
      <alignment horizontal="center" vertical="center"/>
      <protection hidden="1"/>
    </xf>
    <xf numFmtId="0" fontId="1" fillId="4" borderId="42" xfId="0" applyFont="1" applyFill="1" applyBorder="1" applyAlignment="1" applyProtection="1">
      <alignment vertical="center" wrapText="1"/>
      <protection hidden="1"/>
    </xf>
    <xf numFmtId="0" fontId="46" fillId="4" borderId="0" xfId="0" applyFont="1" applyFill="1" applyAlignment="1" applyProtection="1">
      <alignment vertical="center"/>
      <protection hidden="1"/>
    </xf>
    <xf numFmtId="0" fontId="1" fillId="4" borderId="0" xfId="0" applyFont="1" applyFill="1" applyAlignment="1" applyProtection="1">
      <alignment vertical="center"/>
      <protection hidden="1"/>
    </xf>
    <xf numFmtId="0" fontId="1" fillId="4" borderId="42" xfId="0" applyNumberFormat="1" applyFont="1" applyFill="1" applyBorder="1" applyAlignment="1" applyProtection="1">
      <alignment horizontal="left" vertical="center" wrapText="1" indent="1"/>
      <protection hidden="1"/>
    </xf>
    <xf numFmtId="0" fontId="41" fillId="4" borderId="0" xfId="0" applyNumberFormat="1" applyFont="1" applyFill="1" applyBorder="1" applyAlignment="1" applyProtection="1">
      <alignment horizontal="left" vertical="center" wrapText="1" indent="1"/>
      <protection hidden="1"/>
    </xf>
    <xf numFmtId="0" fontId="46" fillId="0" borderId="0" xfId="0" applyFont="1" applyProtection="1">
      <protection hidden="1"/>
    </xf>
    <xf numFmtId="0" fontId="41" fillId="4" borderId="0" xfId="0" applyFont="1" applyFill="1" applyAlignment="1" applyProtection="1">
      <alignment vertical="center" wrapText="1"/>
      <protection hidden="1"/>
    </xf>
    <xf numFmtId="0" fontId="10" fillId="4" borderId="74" xfId="0" applyFont="1" applyFill="1" applyBorder="1" applyAlignment="1" applyProtection="1">
      <alignment vertical="center" wrapText="1"/>
      <protection hidden="1"/>
    </xf>
    <xf numFmtId="0" fontId="46" fillId="4" borderId="0" xfId="0" applyFont="1" applyFill="1" applyBorder="1" applyAlignment="1" applyProtection="1">
      <alignment horizontal="left" vertical="center" wrapText="1" indent="1"/>
      <protection hidden="1"/>
    </xf>
    <xf numFmtId="0" fontId="1" fillId="4" borderId="59" xfId="0" applyFont="1" applyFill="1" applyBorder="1" applyAlignment="1" applyProtection="1">
      <alignment horizontal="center"/>
      <protection locked="0"/>
    </xf>
    <xf numFmtId="0" fontId="1" fillId="4" borderId="59" xfId="0" applyFont="1" applyFill="1" applyBorder="1" applyProtection="1">
      <protection locked="0"/>
    </xf>
    <xf numFmtId="0" fontId="55" fillId="4" borderId="0" xfId="0" applyFont="1" applyFill="1" applyAlignment="1" applyProtection="1">
      <alignment horizontal="left" vertical="center" wrapText="1" indent="1"/>
      <protection hidden="1"/>
    </xf>
    <xf numFmtId="0" fontId="1" fillId="4" borderId="42" xfId="0" applyFont="1" applyFill="1" applyBorder="1" applyAlignment="1" applyProtection="1">
      <alignment vertical="center"/>
      <protection hidden="1"/>
    </xf>
    <xf numFmtId="0" fontId="112" fillId="4" borderId="7" xfId="0" applyFont="1" applyFill="1" applyBorder="1" applyAlignment="1" applyProtection="1">
      <alignment horizontal="left" vertical="center" indent="1"/>
      <protection hidden="1"/>
    </xf>
    <xf numFmtId="0" fontId="108" fillId="4" borderId="7" xfId="0" applyFont="1" applyFill="1" applyBorder="1" applyAlignment="1" applyProtection="1">
      <alignment horizontal="left" vertical="center" indent="1"/>
      <protection hidden="1"/>
    </xf>
    <xf numFmtId="0" fontId="78" fillId="4" borderId="7" xfId="0" applyFont="1" applyFill="1" applyBorder="1" applyAlignment="1" applyProtection="1">
      <alignment horizontal="left" vertical="center" indent="6"/>
      <protection hidden="1"/>
    </xf>
    <xf numFmtId="0" fontId="12" fillId="4" borderId="7" xfId="0" applyFont="1" applyFill="1" applyBorder="1" applyAlignment="1" applyProtection="1">
      <alignment horizontal="left" vertical="center" indent="1"/>
      <protection hidden="1"/>
    </xf>
    <xf numFmtId="49" fontId="12" fillId="4" borderId="7" xfId="0" applyNumberFormat="1" applyFont="1" applyFill="1" applyBorder="1" applyAlignment="1" applyProtection="1">
      <alignment horizontal="left" vertical="center" indent="1"/>
      <protection hidden="1"/>
    </xf>
    <xf numFmtId="0" fontId="108" fillId="4" borderId="7" xfId="0" applyFont="1" applyFill="1" applyBorder="1" applyAlignment="1" applyProtection="1">
      <alignment horizontal="left" vertical="center" indent="6"/>
      <protection hidden="1"/>
    </xf>
    <xf numFmtId="0" fontId="90" fillId="4" borderId="7" xfId="0" applyFont="1" applyFill="1" applyBorder="1" applyAlignment="1" applyProtection="1">
      <alignment horizontal="left" vertical="center" indent="1"/>
      <protection hidden="1"/>
    </xf>
    <xf numFmtId="0" fontId="12" fillId="4" borderId="7" xfId="0" applyFont="1" applyFill="1" applyBorder="1" applyAlignment="1" applyProtection="1">
      <alignment horizontal="left" vertical="center" indent="5"/>
      <protection hidden="1"/>
    </xf>
    <xf numFmtId="166" fontId="1" fillId="0" borderId="73" xfId="0" applyNumberFormat="1" applyFont="1" applyBorder="1" applyAlignment="1" applyProtection="1">
      <alignment horizontal="left" vertical="center" indent="1"/>
      <protection locked="0"/>
    </xf>
    <xf numFmtId="166" fontId="1" fillId="0" borderId="42" xfId="0" applyNumberFormat="1" applyFont="1" applyBorder="1" applyAlignment="1" applyProtection="1">
      <alignment horizontal="left" vertical="center" indent="1"/>
      <protection locked="0"/>
    </xf>
    <xf numFmtId="0" fontId="37" fillId="0" borderId="4" xfId="1" applyBorder="1" applyAlignment="1" applyProtection="1">
      <alignment horizontal="left" vertical="center" indent="1"/>
      <protection locked="0"/>
    </xf>
    <xf numFmtId="0" fontId="1" fillId="4" borderId="3" xfId="0" applyFont="1" applyFill="1" applyBorder="1" applyAlignment="1" applyProtection="1">
      <alignment horizontal="left" vertical="center"/>
      <protection locked="0"/>
    </xf>
    <xf numFmtId="0" fontId="1" fillId="4" borderId="6" xfId="0" applyFont="1" applyFill="1" applyBorder="1" applyAlignment="1" applyProtection="1">
      <alignment horizontal="left" vertical="center"/>
      <protection locked="0"/>
    </xf>
    <xf numFmtId="0" fontId="1" fillId="4" borderId="1" xfId="0" applyFont="1" applyFill="1" applyBorder="1" applyAlignment="1" applyProtection="1">
      <alignment horizontal="left" vertical="center" indent="1"/>
      <protection locked="0"/>
    </xf>
    <xf numFmtId="49" fontId="1" fillId="4" borderId="1" xfId="0" applyNumberFormat="1" applyFont="1" applyFill="1" applyBorder="1" applyAlignment="1" applyProtection="1">
      <alignment horizontal="left" vertical="center" indent="1"/>
      <protection locked="0"/>
    </xf>
    <xf numFmtId="0" fontId="46" fillId="4" borderId="43" xfId="0" applyFont="1" applyFill="1" applyBorder="1" applyAlignment="1" applyProtection="1">
      <alignment horizontal="left" vertical="center" indent="1"/>
      <protection hidden="1"/>
    </xf>
    <xf numFmtId="0" fontId="1" fillId="4" borderId="3" xfId="0" applyFont="1" applyFill="1" applyBorder="1" applyAlignment="1" applyProtection="1">
      <alignment horizontal="right" indent="1"/>
      <protection hidden="1"/>
    </xf>
    <xf numFmtId="0" fontId="1" fillId="3" borderId="1" xfId="0" applyFont="1" applyFill="1" applyBorder="1" applyAlignment="1" applyProtection="1">
      <alignment horizontal="left" vertical="center" wrapText="1" indent="1"/>
      <protection hidden="1"/>
    </xf>
    <xf numFmtId="0" fontId="33" fillId="4" borderId="0" xfId="0" applyFont="1" applyFill="1" applyAlignment="1" applyProtection="1">
      <alignment horizontal="left" vertical="center" wrapText="1"/>
      <protection hidden="1"/>
    </xf>
    <xf numFmtId="0" fontId="41" fillId="0" borderId="0" xfId="0" applyFont="1" applyFill="1" applyBorder="1" applyAlignment="1" applyProtection="1">
      <alignment horizontal="left" wrapText="1" indent="1"/>
      <protection hidden="1"/>
    </xf>
    <xf numFmtId="0" fontId="41" fillId="0" borderId="13" xfId="0" applyFont="1" applyFill="1" applyBorder="1" applyAlignment="1" applyProtection="1">
      <alignment horizontal="left" wrapText="1" indent="1"/>
      <protection hidden="1"/>
    </xf>
    <xf numFmtId="0" fontId="130" fillId="0" borderId="8" xfId="0" applyFont="1" applyFill="1" applyBorder="1" applyProtection="1">
      <protection hidden="1"/>
    </xf>
    <xf numFmtId="0" fontId="41" fillId="0" borderId="0" xfId="0" applyFont="1" applyFill="1" applyBorder="1" applyAlignment="1" applyProtection="1">
      <alignment horizontal="right" vertical="center" wrapText="1" indent="1"/>
      <protection hidden="1"/>
    </xf>
    <xf numFmtId="0" fontId="1" fillId="0" borderId="8" xfId="0" applyFont="1" applyBorder="1" applyProtection="1">
      <protection hidden="1"/>
    </xf>
    <xf numFmtId="0" fontId="62" fillId="0" borderId="8" xfId="0" applyFont="1" applyBorder="1" applyAlignment="1" applyProtection="1">
      <alignment horizontal="left" vertical="center" indent="1"/>
      <protection locked="0"/>
    </xf>
    <xf numFmtId="0" fontId="141" fillId="23" borderId="0" xfId="0" applyFont="1" applyFill="1" applyAlignment="1" applyProtection="1">
      <alignment horizontal="right" vertical="center" indent="1"/>
      <protection hidden="1"/>
    </xf>
    <xf numFmtId="0" fontId="141" fillId="23" borderId="0" xfId="0" applyFont="1" applyFill="1" applyAlignment="1" applyProtection="1">
      <alignment horizontal="left" vertical="center" wrapText="1" indent="1"/>
      <protection hidden="1"/>
    </xf>
    <xf numFmtId="0" fontId="46" fillId="0" borderId="0" xfId="0" applyFont="1" applyFill="1" applyBorder="1" applyAlignment="1" applyProtection="1">
      <alignment horizontal="left" vertical="center" wrapText="1" indent="1"/>
      <protection hidden="1"/>
    </xf>
    <xf numFmtId="0" fontId="46" fillId="4" borderId="0" xfId="0" applyFont="1" applyFill="1" applyBorder="1" applyAlignment="1" applyProtection="1">
      <alignment horizontal="left" indent="1"/>
      <protection hidden="1"/>
    </xf>
    <xf numFmtId="0" fontId="144" fillId="0" borderId="0" xfId="0" applyFont="1"/>
    <xf numFmtId="0" fontId="1" fillId="4" borderId="0" xfId="0" applyFont="1" applyFill="1" applyAlignment="1" applyProtection="1">
      <alignment vertical="center" wrapText="1"/>
      <protection hidden="1"/>
    </xf>
    <xf numFmtId="0" fontId="143" fillId="0" borderId="21" xfId="0" applyFont="1" applyBorder="1" applyProtection="1"/>
    <xf numFmtId="0" fontId="47" fillId="0" borderId="8" xfId="0" applyFont="1" applyBorder="1" applyProtection="1"/>
    <xf numFmtId="0" fontId="142" fillId="0" borderId="0" xfId="0" applyFont="1" applyFill="1"/>
    <xf numFmtId="0" fontId="144" fillId="0" borderId="0" xfId="0" applyFont="1" applyFill="1"/>
    <xf numFmtId="0" fontId="144" fillId="0" borderId="8" xfId="0" applyFont="1" applyBorder="1" applyProtection="1">
      <protection hidden="1"/>
    </xf>
    <xf numFmtId="0" fontId="142" fillId="0" borderId="8" xfId="0" applyFont="1" applyBorder="1" applyProtection="1">
      <protection hidden="1"/>
    </xf>
    <xf numFmtId="0" fontId="142" fillId="0" borderId="0" xfId="0" applyFont="1"/>
    <xf numFmtId="0" fontId="145" fillId="4" borderId="8" xfId="0" applyFont="1" applyFill="1" applyBorder="1" applyProtection="1">
      <protection hidden="1"/>
    </xf>
    <xf numFmtId="0" fontId="146" fillId="4" borderId="8" xfId="0" applyFont="1" applyFill="1" applyBorder="1" applyProtection="1">
      <protection hidden="1"/>
    </xf>
    <xf numFmtId="0" fontId="145" fillId="0" borderId="8" xfId="0" applyFont="1" applyBorder="1" applyProtection="1">
      <protection hidden="1"/>
    </xf>
    <xf numFmtId="0" fontId="146" fillId="0" borderId="8" xfId="0" applyFont="1" applyBorder="1" applyProtection="1">
      <protection hidden="1"/>
    </xf>
    <xf numFmtId="0" fontId="41" fillId="0" borderId="13" xfId="0" applyFont="1" applyFill="1" applyBorder="1" applyAlignment="1" applyProtection="1">
      <alignment horizontal="left" vertical="center" wrapText="1" indent="1"/>
      <protection hidden="1"/>
    </xf>
    <xf numFmtId="0" fontId="1" fillId="4" borderId="0" xfId="0" applyFont="1" applyFill="1" applyBorder="1" applyAlignment="1" applyProtection="1">
      <alignment horizontal="right" vertical="center" wrapText="1" indent="1"/>
      <protection hidden="1"/>
    </xf>
    <xf numFmtId="0" fontId="147" fillId="0" borderId="8" xfId="0" applyFont="1" applyBorder="1" applyAlignment="1" applyProtection="1">
      <alignment vertical="center"/>
      <protection hidden="1"/>
    </xf>
    <xf numFmtId="0" fontId="74" fillId="0" borderId="10" xfId="0" applyFont="1" applyFill="1" applyBorder="1" applyAlignment="1" applyProtection="1">
      <alignment horizontal="left" wrapText="1" indent="1"/>
      <protection hidden="1"/>
    </xf>
    <xf numFmtId="0" fontId="141" fillId="4" borderId="43" xfId="0" applyFont="1" applyFill="1" applyBorder="1" applyAlignment="1" applyProtection="1">
      <alignment horizontal="left" vertical="center" wrapText="1" indent="1"/>
      <protection hidden="1"/>
    </xf>
    <xf numFmtId="0" fontId="121" fillId="4" borderId="10" xfId="0" applyFont="1" applyFill="1" applyBorder="1" applyAlignment="1" applyProtection="1">
      <alignment horizontal="left" indent="17"/>
      <protection hidden="1"/>
    </xf>
    <xf numFmtId="0" fontId="148" fillId="4" borderId="8" xfId="0" applyFont="1" applyFill="1" applyBorder="1" applyAlignment="1" applyProtection="1">
      <alignment horizontal="left"/>
      <protection hidden="1"/>
    </xf>
    <xf numFmtId="0" fontId="147" fillId="4" borderId="9" xfId="0" applyFont="1" applyFill="1" applyBorder="1" applyAlignment="1" applyProtection="1">
      <alignment horizontal="left" vertical="center" indent="1"/>
      <protection hidden="1"/>
    </xf>
    <xf numFmtId="0" fontId="149" fillId="0" borderId="0" xfId="0" applyFont="1" applyAlignment="1" applyProtection="1">
      <alignment horizontal="right" vertical="center" indent="17"/>
      <protection hidden="1"/>
    </xf>
    <xf numFmtId="0" fontId="41" fillId="40" borderId="1" xfId="0" applyFont="1" applyFill="1" applyBorder="1" applyAlignment="1" applyProtection="1">
      <alignment horizontal="center" vertical="center" wrapText="1"/>
      <protection locked="0" hidden="1"/>
    </xf>
    <xf numFmtId="0" fontId="152" fillId="4" borderId="21" xfId="0" applyFont="1" applyFill="1" applyBorder="1" applyAlignment="1" applyProtection="1">
      <alignment horizontal="left" vertical="center" wrapText="1" indent="1"/>
      <protection hidden="1"/>
    </xf>
    <xf numFmtId="0" fontId="152" fillId="4" borderId="11" xfId="0" applyFont="1" applyFill="1" applyBorder="1" applyAlignment="1" applyProtection="1">
      <alignment horizontal="left" vertical="center" wrapText="1" indent="1"/>
      <protection hidden="1"/>
    </xf>
    <xf numFmtId="0" fontId="152" fillId="4" borderId="8" xfId="0" applyFont="1" applyFill="1" applyBorder="1" applyAlignment="1" applyProtection="1">
      <alignment horizontal="left" vertical="center" wrapText="1" indent="1"/>
      <protection hidden="1"/>
    </xf>
    <xf numFmtId="0" fontId="72" fillId="4" borderId="8" xfId="0" applyFont="1" applyFill="1" applyBorder="1" applyAlignment="1" applyProtection="1">
      <alignment horizontal="left" vertical="center" wrapText="1" indent="1"/>
      <protection hidden="1"/>
    </xf>
    <xf numFmtId="0" fontId="153" fillId="0" borderId="8" xfId="0" applyFont="1" applyBorder="1" applyProtection="1">
      <protection hidden="1"/>
    </xf>
    <xf numFmtId="0" fontId="1" fillId="4" borderId="33" xfId="0" applyFont="1" applyFill="1" applyBorder="1" applyAlignment="1" applyProtection="1">
      <alignment horizontal="right" vertical="center" wrapText="1" indent="1"/>
      <protection hidden="1"/>
    </xf>
    <xf numFmtId="0" fontId="1" fillId="0" borderId="42" xfId="0" applyFont="1" applyBorder="1" applyAlignment="1" applyProtection="1">
      <alignment horizontal="center" vertical="center" wrapText="1"/>
      <protection locked="0"/>
    </xf>
    <xf numFmtId="0" fontId="153" fillId="0" borderId="8" xfId="0" applyFont="1" applyFill="1" applyBorder="1" applyProtection="1">
      <protection hidden="1"/>
    </xf>
    <xf numFmtId="0" fontId="153" fillId="0" borderId="8" xfId="0" applyFont="1" applyFill="1" applyBorder="1" applyAlignment="1" applyProtection="1">
      <protection hidden="1"/>
    </xf>
    <xf numFmtId="0" fontId="153" fillId="0" borderId="8" xfId="0" applyFont="1" applyBorder="1" applyAlignment="1" applyProtection="1">
      <alignment vertical="center"/>
      <protection hidden="1"/>
    </xf>
    <xf numFmtId="0" fontId="154" fillId="0" borderId="8" xfId="0" applyFont="1" applyBorder="1" applyProtection="1">
      <protection hidden="1"/>
    </xf>
    <xf numFmtId="0" fontId="155" fillId="0" borderId="25" xfId="0" applyFont="1" applyBorder="1" applyAlignment="1" applyProtection="1">
      <alignment horizontal="left" vertical="center" wrapText="1" indent="2"/>
      <protection hidden="1"/>
    </xf>
    <xf numFmtId="0" fontId="155" fillId="0" borderId="10" xfId="0" applyFont="1" applyBorder="1" applyAlignment="1" applyProtection="1">
      <alignment horizontal="left" vertical="center" wrapText="1" indent="2"/>
      <protection hidden="1"/>
    </xf>
    <xf numFmtId="0" fontId="156" fillId="0" borderId="8" xfId="0" applyFont="1" applyBorder="1" applyProtection="1">
      <protection hidden="1"/>
    </xf>
    <xf numFmtId="0" fontId="155" fillId="4" borderId="17" xfId="0" applyFont="1" applyFill="1" applyBorder="1" applyAlignment="1" applyProtection="1">
      <alignment vertical="center" wrapText="1"/>
      <protection hidden="1"/>
    </xf>
    <xf numFmtId="0" fontId="155" fillId="4" borderId="17" xfId="0" applyFont="1" applyFill="1" applyBorder="1" applyAlignment="1" applyProtection="1">
      <alignment vertical="top" wrapText="1"/>
      <protection hidden="1"/>
    </xf>
    <xf numFmtId="0" fontId="82" fillId="4" borderId="8" xfId="1" applyFont="1" applyFill="1" applyBorder="1" applyProtection="1">
      <protection hidden="1"/>
    </xf>
    <xf numFmtId="0" fontId="84" fillId="27" borderId="2" xfId="0" applyFont="1" applyFill="1" applyBorder="1" applyAlignment="1" applyProtection="1">
      <alignment horizontal="left" vertical="center" wrapText="1" indent="1"/>
      <protection hidden="1"/>
    </xf>
    <xf numFmtId="0" fontId="84" fillId="27" borderId="1" xfId="0" applyFont="1" applyFill="1" applyBorder="1" applyAlignment="1" applyProtection="1">
      <alignment horizontal="left" vertical="top" wrapText="1" indent="2"/>
      <protection hidden="1"/>
    </xf>
    <xf numFmtId="0" fontId="41" fillId="0" borderId="10" xfId="0" applyFont="1" applyBorder="1" applyAlignment="1" applyProtection="1">
      <alignment vertical="center" wrapText="1"/>
      <protection hidden="1"/>
    </xf>
    <xf numFmtId="0" fontId="0" fillId="4" borderId="18" xfId="0" applyFill="1" applyBorder="1" applyProtection="1">
      <protection hidden="1"/>
    </xf>
    <xf numFmtId="49" fontId="0" fillId="4" borderId="9" xfId="0" applyNumberFormat="1" applyFill="1" applyBorder="1" applyProtection="1">
      <protection hidden="1"/>
    </xf>
    <xf numFmtId="0" fontId="0" fillId="4" borderId="9" xfId="0" applyFill="1" applyBorder="1" applyProtection="1">
      <protection hidden="1"/>
    </xf>
    <xf numFmtId="0" fontId="0" fillId="4" borderId="9" xfId="0" applyFill="1" applyBorder="1" applyAlignment="1" applyProtection="1">
      <alignment wrapText="1"/>
      <protection hidden="1"/>
    </xf>
    <xf numFmtId="0" fontId="0" fillId="0" borderId="9" xfId="0" applyBorder="1" applyProtection="1">
      <protection hidden="1"/>
    </xf>
    <xf numFmtId="0" fontId="0" fillId="34" borderId="10" xfId="0" applyFill="1" applyBorder="1" applyAlignment="1" applyProtection="1">
      <alignment vertical="center"/>
      <protection hidden="1"/>
    </xf>
    <xf numFmtId="49" fontId="0" fillId="0" borderId="8" xfId="0" applyNumberFormat="1" applyBorder="1" applyAlignment="1" applyProtection="1">
      <alignment wrapText="1"/>
      <protection hidden="1"/>
    </xf>
    <xf numFmtId="49" fontId="0" fillId="0" borderId="8" xfId="0" applyNumberFormat="1" applyBorder="1" applyProtection="1">
      <protection hidden="1"/>
    </xf>
    <xf numFmtId="0" fontId="0" fillId="0" borderId="8" xfId="0" applyBorder="1" applyAlignment="1" applyProtection="1">
      <alignment wrapText="1"/>
      <protection hidden="1"/>
    </xf>
    <xf numFmtId="49" fontId="116" fillId="27" borderId="8" xfId="0" applyNumberFormat="1" applyFont="1" applyFill="1" applyBorder="1" applyAlignment="1" applyProtection="1">
      <alignment vertical="center"/>
      <protection hidden="1"/>
    </xf>
    <xf numFmtId="0" fontId="116" fillId="27" borderId="8" xfId="0" applyFont="1" applyFill="1" applyBorder="1" applyAlignment="1" applyProtection="1">
      <alignment vertical="center"/>
      <protection hidden="1"/>
    </xf>
    <xf numFmtId="49" fontId="159" fillId="30" borderId="8" xfId="0" applyNumberFormat="1" applyFont="1" applyFill="1" applyBorder="1" applyAlignment="1" applyProtection="1">
      <alignment horizontal="left" vertical="center" wrapText="1" indent="1"/>
      <protection hidden="1"/>
    </xf>
    <xf numFmtId="49" fontId="159" fillId="41" borderId="8" xfId="0" applyNumberFormat="1" applyFont="1" applyFill="1" applyBorder="1" applyAlignment="1" applyProtection="1">
      <alignment vertical="center" wrapText="1"/>
      <protection hidden="1"/>
    </xf>
    <xf numFmtId="49" fontId="159" fillId="41" borderId="8" xfId="0" applyNumberFormat="1" applyFont="1" applyFill="1" applyBorder="1" applyAlignment="1" applyProtection="1">
      <alignment horizontal="left" vertical="center" wrapText="1"/>
      <protection hidden="1"/>
    </xf>
    <xf numFmtId="0" fontId="116" fillId="27" borderId="8" xfId="0" applyFont="1" applyFill="1" applyBorder="1" applyAlignment="1" applyProtection="1">
      <alignment horizontal="center" vertical="center"/>
      <protection hidden="1"/>
    </xf>
    <xf numFmtId="0" fontId="161" fillId="0" borderId="8" xfId="0" applyFont="1" applyBorder="1" applyAlignment="1" applyProtection="1">
      <alignment vertical="center" textRotation="90" wrapText="1"/>
      <protection hidden="1"/>
    </xf>
    <xf numFmtId="49" fontId="116" fillId="0" borderId="16" xfId="0" applyNumberFormat="1" applyFont="1" applyBorder="1" applyAlignment="1" applyProtection="1">
      <alignment vertical="center"/>
      <protection hidden="1"/>
    </xf>
    <xf numFmtId="0" fontId="143" fillId="0" borderId="21" xfId="0" applyFont="1" applyBorder="1" applyAlignment="1" applyProtection="1">
      <alignment horizontal="left" vertical="center"/>
      <protection hidden="1"/>
    </xf>
    <xf numFmtId="49" fontId="116" fillId="0" borderId="21" xfId="0" applyNumberFormat="1" applyFont="1" applyBorder="1" applyAlignment="1" applyProtection="1">
      <alignment vertical="center"/>
      <protection hidden="1"/>
    </xf>
    <xf numFmtId="0" fontId="116" fillId="0" borderId="21" xfId="0" applyFont="1" applyBorder="1" applyAlignment="1" applyProtection="1">
      <alignment vertical="center"/>
      <protection hidden="1"/>
    </xf>
    <xf numFmtId="49" fontId="159" fillId="0" borderId="21" xfId="0" applyNumberFormat="1" applyFont="1" applyBorder="1" applyAlignment="1" applyProtection="1">
      <alignment horizontal="left" vertical="center" wrapText="1" indent="1"/>
      <protection hidden="1"/>
    </xf>
    <xf numFmtId="49" fontId="159" fillId="0" borderId="21" xfId="0" applyNumberFormat="1" applyFont="1" applyBorder="1" applyAlignment="1" applyProtection="1">
      <alignment vertical="center" wrapText="1"/>
      <protection hidden="1"/>
    </xf>
    <xf numFmtId="0" fontId="116" fillId="0" borderId="21" xfId="0" applyFont="1" applyBorder="1" applyAlignment="1" applyProtection="1">
      <alignment horizontal="center" vertical="center"/>
      <protection hidden="1"/>
    </xf>
    <xf numFmtId="0" fontId="72" fillId="0" borderId="42" xfId="0" applyFont="1" applyBorder="1" applyAlignment="1" applyProtection="1">
      <alignment horizontal="left" vertical="center"/>
      <protection hidden="1"/>
    </xf>
    <xf numFmtId="0" fontId="73" fillId="0" borderId="42" xfId="0" applyFont="1" applyBorder="1" applyAlignment="1" applyProtection="1">
      <alignment horizontal="left" vertical="center"/>
      <protection hidden="1"/>
    </xf>
    <xf numFmtId="0" fontId="41" fillId="0" borderId="42" xfId="0" applyFont="1" applyBorder="1" applyAlignment="1" applyProtection="1">
      <alignment horizontal="left" vertical="center"/>
      <protection hidden="1"/>
    </xf>
    <xf numFmtId="49" fontId="41" fillId="0" borderId="42" xfId="0" applyNumberFormat="1" applyFont="1" applyBorder="1" applyAlignment="1" applyProtection="1">
      <alignment horizontal="left" vertical="center"/>
      <protection hidden="1"/>
    </xf>
    <xf numFmtId="166" fontId="41" fillId="0" borderId="42" xfId="0" applyNumberFormat="1" applyFont="1" applyBorder="1" applyAlignment="1" applyProtection="1">
      <alignment horizontal="left" vertical="center"/>
      <protection hidden="1"/>
    </xf>
    <xf numFmtId="0" fontId="41" fillId="0" borderId="42" xfId="0" applyFont="1" applyBorder="1" applyAlignment="1" applyProtection="1">
      <alignment horizontal="left" vertical="center" indent="1"/>
      <protection locked="0"/>
    </xf>
    <xf numFmtId="14" fontId="162" fillId="0" borderId="42" xfId="0" applyNumberFormat="1" applyFont="1" applyBorder="1" applyAlignment="1" applyProtection="1">
      <alignment horizontal="left" vertical="center" wrapText="1"/>
      <protection locked="0"/>
    </xf>
    <xf numFmtId="14" fontId="41" fillId="0" borderId="42" xfId="0" applyNumberFormat="1" applyFont="1" applyBorder="1" applyAlignment="1" applyProtection="1">
      <alignment horizontal="left" vertical="center" wrapText="1"/>
      <protection locked="0"/>
    </xf>
    <xf numFmtId="14" fontId="73" fillId="0" borderId="42" xfId="0" applyNumberFormat="1" applyFont="1" applyBorder="1" applyAlignment="1" applyProtection="1">
      <alignment horizontal="left" vertical="center" wrapText="1"/>
      <protection hidden="1"/>
    </xf>
    <xf numFmtId="0" fontId="40" fillId="0" borderId="10" xfId="0" applyFont="1" applyBorder="1" applyAlignment="1" applyProtection="1">
      <alignment vertical="center"/>
      <protection hidden="1"/>
    </xf>
    <xf numFmtId="0" fontId="163" fillId="0" borderId="8" xfId="0" quotePrefix="1" applyFont="1" applyBorder="1" applyProtection="1">
      <protection hidden="1"/>
    </xf>
    <xf numFmtId="0" fontId="73" fillId="0" borderId="42" xfId="0" applyFont="1" applyBorder="1" applyAlignment="1" applyProtection="1">
      <alignment horizontal="left" vertical="center" wrapText="1"/>
      <protection hidden="1"/>
    </xf>
    <xf numFmtId="0" fontId="162" fillId="0" borderId="42" xfId="0" applyFont="1" applyBorder="1" applyAlignment="1" applyProtection="1">
      <alignment horizontal="left" vertical="center"/>
      <protection hidden="1"/>
    </xf>
    <xf numFmtId="49" fontId="162" fillId="0" borderId="42" xfId="0" applyNumberFormat="1" applyFont="1" applyBorder="1" applyAlignment="1" applyProtection="1">
      <alignment horizontal="left" vertical="center"/>
      <protection hidden="1"/>
    </xf>
    <xf numFmtId="166" fontId="162" fillId="0" borderId="42" xfId="0" applyNumberFormat="1" applyFont="1" applyBorder="1" applyAlignment="1" applyProtection="1">
      <alignment horizontal="left" vertical="center"/>
      <protection hidden="1"/>
    </xf>
    <xf numFmtId="0" fontId="162" fillId="0" borderId="42" xfId="0" applyFont="1" applyBorder="1" applyAlignment="1" applyProtection="1">
      <alignment horizontal="left" vertical="center" indent="1"/>
      <protection locked="0"/>
    </xf>
    <xf numFmtId="0" fontId="72" fillId="0" borderId="13" xfId="0" applyFont="1" applyBorder="1" applyAlignment="1" applyProtection="1">
      <alignment horizontal="left"/>
      <protection hidden="1"/>
    </xf>
    <xf numFmtId="0" fontId="143" fillId="0" borderId="11" xfId="0" applyFont="1" applyBorder="1" applyAlignment="1" applyProtection="1">
      <alignment horizontal="left" vertical="center"/>
      <protection hidden="1"/>
    </xf>
    <xf numFmtId="0" fontId="162" fillId="0" borderId="11" xfId="0" applyFont="1" applyBorder="1" applyAlignment="1" applyProtection="1">
      <alignment horizontal="left"/>
      <protection hidden="1"/>
    </xf>
    <xf numFmtId="166" fontId="162" fillId="0" borderId="11" xfId="0" applyNumberFormat="1" applyFont="1" applyBorder="1" applyAlignment="1" applyProtection="1">
      <alignment horizontal="left" vertical="center" indent="1"/>
      <protection hidden="1"/>
    </xf>
    <xf numFmtId="0" fontId="162" fillId="0" borderId="11" xfId="0" applyFont="1" applyBorder="1" applyAlignment="1" applyProtection="1">
      <alignment horizontal="left" indent="1"/>
      <protection hidden="1"/>
    </xf>
    <xf numFmtId="14" fontId="162" fillId="0" borderId="11" xfId="0" applyNumberFormat="1" applyFont="1" applyBorder="1" applyAlignment="1" applyProtection="1">
      <alignment horizontal="left" vertical="center" wrapText="1"/>
      <protection hidden="1"/>
    </xf>
    <xf numFmtId="14" fontId="162" fillId="0" borderId="11" xfId="0" applyNumberFormat="1" applyFont="1" applyBorder="1" applyAlignment="1" applyProtection="1">
      <alignment horizontal="left" wrapText="1"/>
      <protection hidden="1"/>
    </xf>
    <xf numFmtId="14" fontId="73" fillId="0" borderId="11" xfId="0" applyNumberFormat="1" applyFont="1" applyBorder="1" applyAlignment="1" applyProtection="1">
      <alignment horizontal="left" vertical="center" wrapText="1"/>
      <protection hidden="1"/>
    </xf>
    <xf numFmtId="0" fontId="164" fillId="0" borderId="42" xfId="0" applyFont="1" applyBorder="1" applyAlignment="1" applyProtection="1">
      <alignment horizontal="left" vertical="center" wrapText="1" indent="1"/>
      <protection locked="0"/>
    </xf>
    <xf numFmtId="14" fontId="164" fillId="0" borderId="42" xfId="0" applyNumberFormat="1" applyFont="1" applyBorder="1" applyAlignment="1" applyProtection="1">
      <alignment vertical="center"/>
      <protection locked="0"/>
    </xf>
    <xf numFmtId="49" fontId="0" fillId="0" borderId="8" xfId="0" applyNumberFormat="1" applyBorder="1" applyAlignment="1" applyProtection="1">
      <alignment vertical="top" wrapText="1"/>
      <protection hidden="1"/>
    </xf>
    <xf numFmtId="0" fontId="0" fillId="0" borderId="8" xfId="0" applyBorder="1" applyAlignment="1" applyProtection="1">
      <alignment vertical="top"/>
      <protection hidden="1"/>
    </xf>
    <xf numFmtId="49" fontId="0" fillId="0" borderId="8" xfId="0" applyNumberFormat="1" applyBorder="1" applyAlignment="1" applyProtection="1">
      <alignment vertical="top"/>
      <protection hidden="1"/>
    </xf>
    <xf numFmtId="0" fontId="0" fillId="0" borderId="8" xfId="0" applyBorder="1" applyAlignment="1" applyProtection="1">
      <alignment vertical="top" wrapText="1"/>
      <protection hidden="1"/>
    </xf>
    <xf numFmtId="0" fontId="40" fillId="0" borderId="8" xfId="0" applyFont="1" applyBorder="1" applyAlignment="1" applyProtection="1">
      <alignment vertical="top"/>
      <protection hidden="1"/>
    </xf>
    <xf numFmtId="49" fontId="37" fillId="0" borderId="8" xfId="1" applyNumberFormat="1" applyBorder="1" applyProtection="1">
      <protection hidden="1"/>
    </xf>
    <xf numFmtId="0" fontId="167" fillId="0" borderId="0" xfId="0" quotePrefix="1" applyFont="1"/>
    <xf numFmtId="49" fontId="169" fillId="0" borderId="8" xfId="0" applyNumberFormat="1" applyFont="1" applyBorder="1" applyAlignment="1" applyProtection="1">
      <alignment vertical="top"/>
      <protection hidden="1"/>
    </xf>
    <xf numFmtId="0" fontId="1" fillId="4" borderId="0" xfId="0" applyFont="1" applyFill="1" applyBorder="1" applyAlignment="1" applyProtection="1">
      <alignment vertical="center"/>
      <protection hidden="1"/>
    </xf>
    <xf numFmtId="0" fontId="31" fillId="4" borderId="0" xfId="0" applyFont="1" applyFill="1" applyBorder="1" applyAlignment="1" applyProtection="1">
      <alignment horizontal="left" vertical="center" indent="1"/>
      <protection hidden="1"/>
    </xf>
    <xf numFmtId="0" fontId="28" fillId="4" borderId="0" xfId="0" applyFont="1" applyFill="1" applyBorder="1" applyAlignment="1" applyProtection="1">
      <alignment vertical="center" wrapText="1"/>
      <protection hidden="1"/>
    </xf>
    <xf numFmtId="0" fontId="27" fillId="4" borderId="0" xfId="0" applyNumberFormat="1" applyFont="1" applyFill="1" applyBorder="1" applyAlignment="1" applyProtection="1">
      <alignment horizontal="left" vertical="center" indent="1"/>
      <protection hidden="1"/>
    </xf>
    <xf numFmtId="0" fontId="31" fillId="4" borderId="0" xfId="0" applyFont="1" applyFill="1" applyBorder="1" applyAlignment="1" applyProtection="1">
      <alignment horizontal="left" vertical="center" wrapText="1" indent="1"/>
      <protection hidden="1"/>
    </xf>
    <xf numFmtId="0" fontId="1" fillId="23" borderId="0" xfId="0" applyFont="1" applyFill="1" applyAlignment="1" applyProtection="1">
      <alignment vertical="center"/>
      <protection hidden="1"/>
    </xf>
    <xf numFmtId="0" fontId="152" fillId="5" borderId="0" xfId="0" applyFont="1" applyFill="1" applyAlignment="1" applyProtection="1">
      <alignment horizontal="left" vertical="center" indent="1"/>
      <protection hidden="1"/>
    </xf>
    <xf numFmtId="0" fontId="41" fillId="4" borderId="42" xfId="0" applyFont="1" applyFill="1" applyBorder="1" applyAlignment="1" applyProtection="1">
      <alignment vertical="center" wrapText="1"/>
      <protection hidden="1"/>
    </xf>
    <xf numFmtId="0" fontId="1" fillId="4" borderId="42" xfId="0" applyFont="1" applyFill="1" applyBorder="1" applyAlignment="1" applyProtection="1">
      <alignment horizontal="left" vertical="center" wrapText="1" indent="1"/>
      <protection hidden="1"/>
    </xf>
    <xf numFmtId="0" fontId="44" fillId="4" borderId="0" xfId="0" applyFont="1" applyFill="1" applyProtection="1">
      <protection hidden="1"/>
    </xf>
    <xf numFmtId="0" fontId="170" fillId="4" borderId="0" xfId="0" applyFont="1" applyFill="1" applyAlignment="1" applyProtection="1">
      <alignment horizontal="left" vertical="center" wrapText="1" indent="1"/>
      <protection hidden="1"/>
    </xf>
    <xf numFmtId="0" fontId="1" fillId="0" borderId="1" xfId="0" applyFont="1" applyFill="1" applyBorder="1" applyAlignment="1" applyProtection="1">
      <alignment horizontal="center" vertical="center" wrapText="1"/>
      <protection locked="0"/>
    </xf>
    <xf numFmtId="0" fontId="35" fillId="4" borderId="8" xfId="0" applyFont="1" applyFill="1" applyBorder="1" applyAlignment="1" applyProtection="1">
      <protection hidden="1"/>
    </xf>
    <xf numFmtId="0" fontId="90" fillId="0" borderId="8" xfId="0" applyFont="1" applyBorder="1" applyAlignment="1" applyProtection="1">
      <alignment vertical="center"/>
      <protection hidden="1"/>
    </xf>
    <xf numFmtId="0" fontId="74" fillId="4" borderId="17" xfId="0" applyFont="1" applyFill="1" applyBorder="1" applyAlignment="1" applyProtection="1">
      <alignment vertical="top" wrapText="1"/>
      <protection hidden="1"/>
    </xf>
    <xf numFmtId="0" fontId="74" fillId="4" borderId="18" xfId="0" applyFont="1" applyFill="1" applyBorder="1" applyAlignment="1" applyProtection="1">
      <alignment vertical="top" wrapText="1"/>
      <protection hidden="1"/>
    </xf>
    <xf numFmtId="0" fontId="171" fillId="4" borderId="43" xfId="0" applyFont="1" applyFill="1" applyBorder="1" applyAlignment="1" applyProtection="1">
      <alignment horizontal="left" vertical="center" wrapText="1" indent="1"/>
      <protection hidden="1"/>
    </xf>
    <xf numFmtId="0" fontId="1" fillId="4" borderId="0" xfId="0" applyFont="1" applyFill="1" applyAlignment="1" applyProtection="1">
      <alignment horizontal="left" indent="2"/>
      <protection hidden="1"/>
    </xf>
    <xf numFmtId="0" fontId="1" fillId="4" borderId="42" xfId="0" applyFont="1" applyFill="1" applyBorder="1" applyAlignment="1" applyProtection="1">
      <alignment horizontal="left" vertical="center" wrapText="1"/>
      <protection hidden="1"/>
    </xf>
    <xf numFmtId="0" fontId="1" fillId="4" borderId="42" xfId="0" quotePrefix="1" applyFont="1" applyFill="1" applyBorder="1" applyAlignment="1" applyProtection="1">
      <alignment horizontal="left" vertical="center" wrapText="1" indent="1"/>
      <protection hidden="1"/>
    </xf>
    <xf numFmtId="0" fontId="1" fillId="4" borderId="0" xfId="0" applyFont="1" applyFill="1" applyBorder="1" applyAlignment="1" applyProtection="1">
      <alignment horizontal="left" vertical="center" wrapText="1"/>
      <protection hidden="1"/>
    </xf>
    <xf numFmtId="0" fontId="1" fillId="4" borderId="0" xfId="0" quotePrefix="1" applyFont="1" applyFill="1" applyBorder="1" applyAlignment="1" applyProtection="1">
      <alignment horizontal="left" vertical="center" wrapText="1" indent="1"/>
      <protection hidden="1"/>
    </xf>
    <xf numFmtId="0" fontId="37" fillId="4" borderId="0" xfId="1" applyFill="1" applyAlignment="1" applyProtection="1">
      <alignment horizontal="left" indent="1"/>
      <protection hidden="1"/>
    </xf>
    <xf numFmtId="0" fontId="172" fillId="25" borderId="0" xfId="1" applyFont="1" applyFill="1" applyAlignment="1" applyProtection="1">
      <alignment horizontal="center" vertical="center"/>
      <protection hidden="1"/>
    </xf>
    <xf numFmtId="0" fontId="132" fillId="0" borderId="0" xfId="0" applyFont="1" applyProtection="1">
      <protection hidden="1"/>
    </xf>
    <xf numFmtId="0" fontId="0" fillId="4" borderId="0" xfId="0" applyFill="1" applyAlignment="1" applyProtection="1">
      <alignment horizontal="center"/>
      <protection hidden="1"/>
    </xf>
    <xf numFmtId="49" fontId="0" fillId="4" borderId="0" xfId="0" applyNumberFormat="1" applyFill="1" applyProtection="1">
      <protection hidden="1"/>
    </xf>
    <xf numFmtId="0" fontId="0" fillId="4" borderId="0" xfId="0" applyFill="1" applyProtection="1">
      <protection hidden="1"/>
    </xf>
    <xf numFmtId="0" fontId="0" fillId="4" borderId="0" xfId="0" applyFill="1" applyAlignment="1" applyProtection="1">
      <alignment wrapText="1"/>
      <protection hidden="1"/>
    </xf>
    <xf numFmtId="0" fontId="0" fillId="34" borderId="0" xfId="0" applyFill="1" applyAlignment="1" applyProtection="1">
      <alignment horizontal="center" vertical="center"/>
      <protection hidden="1"/>
    </xf>
    <xf numFmtId="49" fontId="47" fillId="34" borderId="0" xfId="0" applyNumberFormat="1" applyFont="1" applyFill="1" applyAlignment="1" applyProtection="1">
      <alignment vertical="center"/>
      <protection hidden="1"/>
    </xf>
    <xf numFmtId="0" fontId="96" fillId="34" borderId="0" xfId="0" applyNumberFormat="1" applyFont="1" applyFill="1" applyAlignment="1" applyProtection="1">
      <alignment vertical="center"/>
      <protection hidden="1"/>
    </xf>
    <xf numFmtId="49" fontId="0" fillId="34" borderId="0" xfId="0" applyNumberFormat="1" applyFill="1" applyAlignment="1" applyProtection="1">
      <alignment vertical="center"/>
      <protection hidden="1"/>
    </xf>
    <xf numFmtId="0" fontId="0" fillId="34" borderId="0" xfId="0" applyFill="1" applyAlignment="1" applyProtection="1">
      <alignment vertical="center"/>
      <protection hidden="1"/>
    </xf>
    <xf numFmtId="0" fontId="0" fillId="34" borderId="0" xfId="0" applyFill="1" applyAlignment="1" applyProtection="1">
      <alignment horizontal="center"/>
      <protection hidden="1"/>
    </xf>
    <xf numFmtId="49" fontId="0" fillId="34" borderId="0" xfId="0" applyNumberFormat="1" applyFill="1" applyProtection="1">
      <protection hidden="1"/>
    </xf>
    <xf numFmtId="0" fontId="0" fillId="34" borderId="0" xfId="0" applyFill="1" applyProtection="1">
      <protection hidden="1"/>
    </xf>
    <xf numFmtId="0" fontId="0" fillId="0" borderId="0" xfId="0" applyAlignment="1" applyProtection="1">
      <alignment horizontal="center"/>
      <protection hidden="1"/>
    </xf>
    <xf numFmtId="49" fontId="0" fillId="0" borderId="0" xfId="0" applyNumberFormat="1" applyAlignment="1" applyProtection="1">
      <alignment wrapText="1"/>
      <protection hidden="1"/>
    </xf>
    <xf numFmtId="49" fontId="0" fillId="0" borderId="0" xfId="0" applyNumberFormat="1" applyProtection="1">
      <protection hidden="1"/>
    </xf>
    <xf numFmtId="0" fontId="0" fillId="0" borderId="0" xfId="0" applyProtection="1">
      <protection hidden="1"/>
    </xf>
    <xf numFmtId="0" fontId="0" fillId="0" borderId="0" xfId="0" applyAlignment="1" applyProtection="1">
      <alignment wrapText="1"/>
      <protection hidden="1"/>
    </xf>
    <xf numFmtId="49" fontId="40" fillId="27" borderId="0" xfId="0" applyNumberFormat="1" applyFont="1" applyFill="1" applyAlignment="1" applyProtection="1">
      <alignment horizontal="center" vertical="center"/>
      <protection hidden="1"/>
    </xf>
    <xf numFmtId="49" fontId="40" fillId="27" borderId="0" xfId="0" applyNumberFormat="1" applyFont="1" applyFill="1" applyAlignment="1" applyProtection="1">
      <alignment vertical="center"/>
      <protection hidden="1"/>
    </xf>
    <xf numFmtId="0" fontId="40" fillId="27" borderId="0" xfId="0" applyFont="1" applyFill="1" applyAlignment="1" applyProtection="1">
      <alignment vertical="center"/>
      <protection hidden="1"/>
    </xf>
    <xf numFmtId="49" fontId="40" fillId="27" borderId="0" xfId="0" applyNumberFormat="1" applyFont="1" applyFill="1" applyAlignment="1" applyProtection="1">
      <alignment vertical="center" wrapText="1"/>
      <protection hidden="1"/>
    </xf>
    <xf numFmtId="0" fontId="131" fillId="0" borderId="0" xfId="0" applyFont="1" applyAlignment="1" applyProtection="1">
      <alignment horizontal="center"/>
      <protection hidden="1"/>
    </xf>
    <xf numFmtId="0" fontId="40" fillId="0" borderId="0" xfId="0" applyFont="1" applyAlignment="1" applyProtection="1">
      <alignment wrapText="1"/>
      <protection hidden="1"/>
    </xf>
    <xf numFmtId="0" fontId="55" fillId="4" borderId="0" xfId="0" applyFont="1" applyFill="1" applyBorder="1" applyAlignment="1" applyProtection="1">
      <alignment horizontal="left"/>
      <protection hidden="1"/>
    </xf>
    <xf numFmtId="0" fontId="90" fillId="0" borderId="8" xfId="0" applyFont="1" applyBorder="1" applyAlignment="1" applyProtection="1">
      <alignment wrapText="1"/>
      <protection hidden="1"/>
    </xf>
    <xf numFmtId="0" fontId="55" fillId="0" borderId="8" xfId="0" applyFont="1" applyBorder="1" applyAlignment="1" applyProtection="1">
      <alignment wrapText="1"/>
      <protection hidden="1"/>
    </xf>
    <xf numFmtId="0" fontId="55" fillId="0" borderId="8" xfId="0" applyFont="1" applyBorder="1" applyAlignment="1" applyProtection="1">
      <alignment horizontal="left"/>
      <protection hidden="1"/>
    </xf>
    <xf numFmtId="0" fontId="74" fillId="0" borderId="8" xfId="0" applyFont="1" applyBorder="1" applyAlignment="1" applyProtection="1">
      <alignment wrapText="1"/>
      <protection hidden="1"/>
    </xf>
    <xf numFmtId="0" fontId="68" fillId="0" borderId="8" xfId="0" applyFont="1" applyBorder="1" applyProtection="1">
      <protection hidden="1"/>
    </xf>
    <xf numFmtId="0" fontId="68" fillId="0" borderId="8" xfId="0" applyFont="1" applyFill="1" applyBorder="1" applyProtection="1">
      <protection hidden="1"/>
    </xf>
    <xf numFmtId="49" fontId="55" fillId="0" borderId="8" xfId="0" applyNumberFormat="1" applyFont="1" applyBorder="1" applyProtection="1">
      <protection hidden="1"/>
    </xf>
    <xf numFmtId="0" fontId="174" fillId="0" borderId="8" xfId="0" applyFont="1" applyBorder="1" applyProtection="1">
      <protection hidden="1"/>
    </xf>
    <xf numFmtId="0" fontId="55" fillId="0" borderId="8" xfId="0" applyFont="1" applyBorder="1" applyAlignment="1" applyProtection="1">
      <protection hidden="1"/>
    </xf>
    <xf numFmtId="0" fontId="55" fillId="0" borderId="8" xfId="0" applyFont="1" applyBorder="1" applyAlignment="1" applyProtection="1">
      <alignment horizontal="left" indent="1"/>
      <protection hidden="1"/>
    </xf>
    <xf numFmtId="0" fontId="55" fillId="0" borderId="8" xfId="0" applyFont="1" applyFill="1" applyBorder="1" applyAlignment="1" applyProtection="1">
      <alignment horizontal="center"/>
      <protection hidden="1"/>
    </xf>
    <xf numFmtId="0" fontId="55" fillId="4" borderId="8" xfId="0" applyFont="1" applyFill="1" applyBorder="1" applyAlignment="1" applyProtection="1">
      <alignment horizontal="center"/>
      <protection hidden="1"/>
    </xf>
    <xf numFmtId="0" fontId="73" fillId="4" borderId="0" xfId="0" applyFont="1" applyFill="1" applyBorder="1" applyAlignment="1" applyProtection="1">
      <alignment horizontal="left" vertical="center" wrapText="1" indent="3"/>
      <protection hidden="1"/>
    </xf>
    <xf numFmtId="0" fontId="105" fillId="4" borderId="69" xfId="0" applyFont="1" applyFill="1" applyBorder="1" applyAlignment="1" applyProtection="1">
      <alignment horizontal="center"/>
      <protection hidden="1"/>
    </xf>
    <xf numFmtId="0" fontId="37" fillId="4" borderId="69" xfId="1" applyFill="1" applyBorder="1" applyProtection="1">
      <protection locked="0"/>
    </xf>
    <xf numFmtId="0" fontId="105" fillId="4" borderId="78" xfId="0" applyFont="1" applyFill="1" applyBorder="1" applyAlignment="1" applyProtection="1">
      <alignment horizontal="center"/>
      <protection hidden="1"/>
    </xf>
    <xf numFmtId="0" fontId="87" fillId="4" borderId="78" xfId="0" applyFont="1" applyFill="1" applyBorder="1" applyAlignment="1" applyProtection="1">
      <alignment horizontal="center"/>
      <protection locked="0"/>
    </xf>
    <xf numFmtId="0" fontId="87" fillId="4" borderId="78" xfId="0" applyFont="1" applyFill="1" applyBorder="1" applyProtection="1">
      <protection locked="0"/>
    </xf>
    <xf numFmtId="0" fontId="37" fillId="4" borderId="78" xfId="1" applyFill="1" applyBorder="1" applyProtection="1">
      <protection locked="0"/>
    </xf>
    <xf numFmtId="49" fontId="87" fillId="4" borderId="78" xfId="0" applyNumberFormat="1" applyFont="1" applyFill="1" applyBorder="1" applyProtection="1">
      <protection locked="0"/>
    </xf>
    <xf numFmtId="0" fontId="63" fillId="0" borderId="8" xfId="0" applyFont="1" applyBorder="1" applyAlignment="1" applyProtection="1">
      <alignment horizontal="left" vertical="center" indent="1"/>
      <protection hidden="1"/>
    </xf>
    <xf numFmtId="0" fontId="153" fillId="4" borderId="8" xfId="0" applyFont="1" applyFill="1" applyBorder="1" applyAlignment="1" applyProtection="1">
      <protection hidden="1"/>
    </xf>
    <xf numFmtId="14" fontId="90" fillId="0" borderId="42" xfId="0" applyNumberFormat="1" applyFont="1" applyBorder="1" applyAlignment="1" applyProtection="1">
      <alignment horizontal="left" vertical="center" wrapText="1"/>
      <protection hidden="1"/>
    </xf>
    <xf numFmtId="0" fontId="36" fillId="23" borderId="14" xfId="0" applyFont="1" applyFill="1" applyBorder="1" applyAlignment="1" applyProtection="1">
      <alignment horizontal="left" vertical="center" wrapText="1" indent="1"/>
      <protection hidden="1"/>
    </xf>
    <xf numFmtId="0" fontId="36" fillId="23" borderId="0" xfId="0" applyFont="1" applyFill="1" applyBorder="1" applyAlignment="1" applyProtection="1">
      <alignment horizontal="left" vertical="center" wrapText="1" indent="1"/>
      <protection hidden="1"/>
    </xf>
    <xf numFmtId="0" fontId="45" fillId="4" borderId="14" xfId="0" applyFont="1" applyFill="1" applyBorder="1" applyAlignment="1" applyProtection="1">
      <alignment horizontal="left" wrapText="1" indent="1"/>
      <protection hidden="1"/>
    </xf>
    <xf numFmtId="0" fontId="45" fillId="4" borderId="0" xfId="0" applyFont="1" applyFill="1" applyBorder="1" applyAlignment="1" applyProtection="1">
      <alignment horizontal="left" wrapText="1" indent="1"/>
      <protection hidden="1"/>
    </xf>
    <xf numFmtId="0" fontId="0" fillId="4" borderId="14" xfId="0" applyFill="1" applyBorder="1" applyAlignment="1" applyProtection="1">
      <alignment horizontal="left" wrapText="1"/>
      <protection hidden="1"/>
    </xf>
    <xf numFmtId="0" fontId="0" fillId="4" borderId="0" xfId="0" applyFill="1" applyBorder="1" applyAlignment="1" applyProtection="1">
      <alignment horizontal="left" wrapText="1"/>
      <protection hidden="1"/>
    </xf>
    <xf numFmtId="0" fontId="45" fillId="4" borderId="14" xfId="0" applyFont="1" applyFill="1" applyBorder="1" applyAlignment="1" applyProtection="1">
      <alignment horizontal="left" vertical="center" wrapText="1"/>
      <protection hidden="1"/>
    </xf>
    <xf numFmtId="0" fontId="45" fillId="4" borderId="0" xfId="0" applyFont="1" applyFill="1" applyBorder="1" applyAlignment="1" applyProtection="1">
      <alignment horizontal="left" vertical="center" wrapText="1"/>
      <protection hidden="1"/>
    </xf>
    <xf numFmtId="0" fontId="31" fillId="4" borderId="14" xfId="0" applyFont="1" applyFill="1" applyBorder="1" applyAlignment="1" applyProtection="1">
      <alignment horizontal="left" wrapText="1"/>
      <protection hidden="1"/>
    </xf>
    <xf numFmtId="0" fontId="39" fillId="4" borderId="0" xfId="0" applyFont="1" applyFill="1" applyBorder="1" applyAlignment="1" applyProtection="1">
      <alignment horizontal="left" wrapText="1"/>
      <protection hidden="1"/>
    </xf>
    <xf numFmtId="0" fontId="0" fillId="4" borderId="14" xfId="0" applyFill="1" applyBorder="1" applyAlignment="1" applyProtection="1">
      <alignment horizontal="center"/>
      <protection hidden="1"/>
    </xf>
    <xf numFmtId="0" fontId="0" fillId="4" borderId="0" xfId="0" applyFill="1" applyBorder="1" applyAlignment="1" applyProtection="1">
      <alignment horizontal="center"/>
      <protection hidden="1"/>
    </xf>
    <xf numFmtId="0" fontId="0" fillId="4" borderId="13" xfId="0" applyFill="1" applyBorder="1" applyAlignment="1" applyProtection="1">
      <alignment horizontal="center"/>
      <protection hidden="1"/>
    </xf>
    <xf numFmtId="0" fontId="54" fillId="4" borderId="23" xfId="0" applyFont="1" applyFill="1" applyBorder="1" applyAlignment="1" applyProtection="1">
      <alignment horizontal="left" vertical="center" wrapText="1" indent="1"/>
      <protection hidden="1"/>
    </xf>
    <xf numFmtId="0" fontId="54" fillId="4" borderId="15" xfId="0" applyFont="1" applyFill="1" applyBorder="1" applyAlignment="1" applyProtection="1">
      <alignment horizontal="left" vertical="center" wrapText="1" indent="1"/>
      <protection hidden="1"/>
    </xf>
    <xf numFmtId="0" fontId="37" fillId="4" borderId="15" xfId="1" applyFill="1" applyBorder="1" applyAlignment="1" applyProtection="1">
      <alignment horizontal="left" vertical="center"/>
      <protection hidden="1"/>
    </xf>
    <xf numFmtId="0" fontId="37" fillId="4" borderId="16" xfId="1" applyFill="1" applyBorder="1" applyAlignment="1" applyProtection="1">
      <alignment horizontal="left" vertical="center"/>
      <protection hidden="1"/>
    </xf>
    <xf numFmtId="0" fontId="45" fillId="4" borderId="24" xfId="0" applyFont="1" applyFill="1" applyBorder="1" applyAlignment="1" applyProtection="1">
      <alignment horizontal="left" vertical="center" wrapText="1"/>
      <protection hidden="1"/>
    </xf>
    <xf numFmtId="0" fontId="45" fillId="4" borderId="18" xfId="0" applyFont="1" applyFill="1" applyBorder="1" applyAlignment="1" applyProtection="1">
      <alignment horizontal="left" vertical="center" wrapText="1"/>
      <protection hidden="1"/>
    </xf>
    <xf numFmtId="0" fontId="39" fillId="4" borderId="14" xfId="0" applyFont="1" applyFill="1" applyBorder="1" applyAlignment="1" applyProtection="1">
      <alignment horizontal="left" wrapText="1"/>
      <protection hidden="1"/>
    </xf>
    <xf numFmtId="0" fontId="54" fillId="4" borderId="33" xfId="0" applyFont="1" applyFill="1" applyBorder="1" applyAlignment="1" applyProtection="1">
      <alignment horizontal="left" wrapText="1" indent="1"/>
      <protection hidden="1"/>
    </xf>
    <xf numFmtId="0" fontId="54" fillId="4" borderId="25" xfId="0" applyFont="1" applyFill="1" applyBorder="1" applyAlignment="1" applyProtection="1">
      <alignment horizontal="left" wrapText="1" indent="1"/>
      <protection hidden="1"/>
    </xf>
    <xf numFmtId="0" fontId="54" fillId="4" borderId="10" xfId="0" applyFont="1" applyFill="1" applyBorder="1" applyAlignment="1" applyProtection="1">
      <alignment horizontal="left" wrapText="1" indent="1"/>
      <protection hidden="1"/>
    </xf>
    <xf numFmtId="0" fontId="45" fillId="39" borderId="33" xfId="0" applyFont="1" applyFill="1" applyBorder="1" applyAlignment="1" applyProtection="1">
      <alignment horizontal="left" vertical="center" wrapText="1" indent="1"/>
      <protection hidden="1"/>
    </xf>
    <xf numFmtId="0" fontId="45" fillId="39" borderId="25" xfId="0" applyFont="1" applyFill="1" applyBorder="1" applyAlignment="1" applyProtection="1">
      <alignment horizontal="left" vertical="center" wrapText="1" indent="1"/>
      <protection hidden="1"/>
    </xf>
    <xf numFmtId="0" fontId="45" fillId="39" borderId="10" xfId="0" applyFont="1" applyFill="1" applyBorder="1" applyAlignment="1" applyProtection="1">
      <alignment horizontal="left" vertical="center" wrapText="1" indent="1"/>
      <protection hidden="1"/>
    </xf>
    <xf numFmtId="0" fontId="45" fillId="4" borderId="23" xfId="0" applyFont="1" applyFill="1" applyBorder="1" applyAlignment="1" applyProtection="1">
      <alignment horizontal="left" wrapText="1"/>
      <protection hidden="1"/>
    </xf>
    <xf numFmtId="0" fontId="45" fillId="4" borderId="16" xfId="0" applyFont="1" applyFill="1" applyBorder="1" applyAlignment="1" applyProtection="1">
      <alignment horizontal="left" wrapText="1"/>
      <protection hidden="1"/>
    </xf>
    <xf numFmtId="0" fontId="45" fillId="4" borderId="33" xfId="0" applyFont="1" applyFill="1" applyBorder="1" applyAlignment="1" applyProtection="1">
      <alignment horizontal="left" vertical="top" indent="1"/>
      <protection hidden="1"/>
    </xf>
    <xf numFmtId="0" fontId="45" fillId="4" borderId="25" xfId="0" applyFont="1" applyFill="1" applyBorder="1" applyAlignment="1" applyProtection="1">
      <alignment horizontal="left" vertical="top" indent="1"/>
      <protection hidden="1"/>
    </xf>
    <xf numFmtId="0" fontId="45" fillId="4" borderId="10" xfId="0" applyFont="1" applyFill="1" applyBorder="1" applyAlignment="1" applyProtection="1">
      <alignment horizontal="left" vertical="top" indent="1"/>
      <protection hidden="1"/>
    </xf>
    <xf numFmtId="0" fontId="35" fillId="6" borderId="5" xfId="0" applyFont="1" applyFill="1" applyBorder="1" applyAlignment="1" applyProtection="1">
      <alignment horizontal="left" vertical="center" indent="1"/>
      <protection hidden="1"/>
    </xf>
    <xf numFmtId="0" fontId="40" fillId="6" borderId="2" xfId="0" applyFont="1" applyFill="1" applyBorder="1" applyAlignment="1" applyProtection="1">
      <alignment horizontal="left" vertical="center" indent="1"/>
      <protection hidden="1"/>
    </xf>
    <xf numFmtId="0" fontId="41" fillId="34" borderId="0" xfId="0" applyFont="1" applyFill="1" applyBorder="1" applyAlignment="1" applyProtection="1">
      <alignment horizontal="left" vertical="center" wrapText="1" indent="2"/>
      <protection hidden="1"/>
    </xf>
    <xf numFmtId="0" fontId="41" fillId="34" borderId="13" xfId="0" applyFont="1" applyFill="1" applyBorder="1" applyAlignment="1" applyProtection="1">
      <alignment horizontal="left" vertical="center" wrapText="1" indent="2"/>
      <protection hidden="1"/>
    </xf>
    <xf numFmtId="0" fontId="35" fillId="4" borderId="0" xfId="0" applyFont="1" applyFill="1" applyBorder="1" applyAlignment="1" applyProtection="1">
      <alignment horizontal="left" vertical="center" indent="1"/>
      <protection hidden="1"/>
    </xf>
    <xf numFmtId="0" fontId="63" fillId="0" borderId="25" xfId="0" applyFont="1" applyBorder="1" applyAlignment="1" applyProtection="1">
      <alignment horizontal="left" vertical="center" wrapText="1" indent="1"/>
      <protection hidden="1"/>
    </xf>
    <xf numFmtId="0" fontId="63" fillId="0" borderId="10" xfId="0" applyFont="1" applyBorder="1" applyAlignment="1" applyProtection="1">
      <alignment horizontal="left" vertical="center" wrapText="1" indent="1"/>
      <protection hidden="1"/>
    </xf>
    <xf numFmtId="0" fontId="35" fillId="6" borderId="5" xfId="0" applyFont="1" applyFill="1" applyBorder="1" applyAlignment="1" applyProtection="1">
      <alignment horizontal="left" vertical="center" wrapText="1" indent="1"/>
      <protection hidden="1"/>
    </xf>
    <xf numFmtId="0" fontId="133" fillId="4" borderId="24" xfId="0" applyFont="1" applyFill="1" applyBorder="1" applyAlignment="1" applyProtection="1">
      <alignment horizontal="left" vertical="top" wrapText="1"/>
      <protection hidden="1"/>
    </xf>
    <xf numFmtId="0" fontId="133" fillId="4" borderId="17" xfId="0" applyFont="1" applyFill="1" applyBorder="1" applyAlignment="1" applyProtection="1">
      <alignment horizontal="left" vertical="top" wrapText="1"/>
      <protection hidden="1"/>
    </xf>
    <xf numFmtId="0" fontId="133" fillId="4" borderId="18" xfId="0" applyFont="1" applyFill="1" applyBorder="1" applyAlignment="1" applyProtection="1">
      <alignment horizontal="left" vertical="top" wrapText="1"/>
      <protection hidden="1"/>
    </xf>
    <xf numFmtId="0" fontId="41" fillId="34" borderId="0" xfId="0" applyFont="1" applyFill="1" applyBorder="1" applyAlignment="1" applyProtection="1">
      <alignment horizontal="left" vertical="top" wrapText="1" indent="1"/>
      <protection hidden="1"/>
    </xf>
    <xf numFmtId="0" fontId="34" fillId="6" borderId="5" xfId="0" applyFont="1" applyFill="1" applyBorder="1" applyAlignment="1" applyProtection="1">
      <alignment horizontal="left" vertical="center"/>
      <protection hidden="1"/>
    </xf>
    <xf numFmtId="0" fontId="0" fillId="6" borderId="2" xfId="0" applyFill="1" applyBorder="1" applyAlignment="1" applyProtection="1">
      <alignment horizontal="left" vertical="center"/>
      <protection hidden="1"/>
    </xf>
    <xf numFmtId="0" fontId="34" fillId="6" borderId="63" xfId="0" applyFont="1" applyFill="1" applyBorder="1" applyAlignment="1" applyProtection="1">
      <alignment horizontal="left" vertical="center"/>
      <protection hidden="1"/>
    </xf>
    <xf numFmtId="0" fontId="0" fillId="6" borderId="64" xfId="0" applyFill="1" applyBorder="1" applyAlignment="1" applyProtection="1">
      <alignment horizontal="left" vertical="center"/>
      <protection hidden="1"/>
    </xf>
    <xf numFmtId="0" fontId="68" fillId="6" borderId="5" xfId="0" applyFont="1" applyFill="1" applyBorder="1" applyAlignment="1" applyProtection="1">
      <alignment horizontal="left" vertical="center" wrapText="1"/>
      <protection hidden="1"/>
    </xf>
    <xf numFmtId="0" fontId="43" fillId="6" borderId="2" xfId="0" applyFont="1" applyFill="1" applyBorder="1" applyAlignment="1" applyProtection="1">
      <alignment horizontal="left" vertical="center" wrapText="1"/>
      <protection hidden="1"/>
    </xf>
    <xf numFmtId="0" fontId="113" fillId="4" borderId="0" xfId="0" quotePrefix="1" applyFont="1" applyFill="1" applyBorder="1" applyAlignment="1" applyProtection="1">
      <alignment horizontal="left" vertical="top" wrapText="1"/>
      <protection hidden="1"/>
    </xf>
    <xf numFmtId="0" fontId="38" fillId="4" borderId="0" xfId="0" quotePrefix="1" applyFont="1" applyFill="1" applyBorder="1" applyAlignment="1" applyProtection="1">
      <alignment horizontal="left" vertical="center" wrapText="1"/>
      <protection hidden="1"/>
    </xf>
    <xf numFmtId="0" fontId="62" fillId="4" borderId="0" xfId="0" quotePrefix="1" applyFont="1" applyFill="1" applyBorder="1" applyAlignment="1" applyProtection="1">
      <alignment horizontal="left" vertical="top" wrapText="1"/>
      <protection hidden="1"/>
    </xf>
    <xf numFmtId="0" fontId="1" fillId="26" borderId="49" xfId="0" applyFont="1" applyFill="1" applyBorder="1" applyAlignment="1" applyProtection="1">
      <alignment horizontal="left" vertical="top" indent="1"/>
      <protection locked="0"/>
    </xf>
    <xf numFmtId="0" fontId="39" fillId="26" borderId="19" xfId="0" applyFont="1" applyFill="1" applyBorder="1" applyAlignment="1" applyProtection="1">
      <alignment horizontal="left" vertical="top" indent="1"/>
      <protection locked="0"/>
    </xf>
    <xf numFmtId="0" fontId="39" fillId="26" borderId="34" xfId="0" applyFont="1" applyFill="1" applyBorder="1" applyAlignment="1" applyProtection="1">
      <alignment horizontal="left" vertical="top" indent="1"/>
      <protection locked="0"/>
    </xf>
    <xf numFmtId="0" fontId="66" fillId="0" borderId="25" xfId="0" applyFont="1" applyBorder="1" applyAlignment="1" applyProtection="1">
      <alignment horizontal="left" vertical="center" wrapText="1"/>
      <protection hidden="1"/>
    </xf>
    <xf numFmtId="0" fontId="66" fillId="0" borderId="10" xfId="0" applyFont="1" applyBorder="1" applyAlignment="1" applyProtection="1">
      <alignment horizontal="left" vertical="center" wrapText="1"/>
      <protection hidden="1"/>
    </xf>
    <xf numFmtId="0" fontId="55" fillId="6" borderId="5" xfId="0" applyFont="1" applyFill="1" applyBorder="1" applyAlignment="1" applyProtection="1">
      <alignment horizontal="center" vertical="center" wrapText="1"/>
      <protection hidden="1"/>
    </xf>
    <xf numFmtId="0" fontId="55" fillId="6" borderId="2" xfId="0" applyFont="1" applyFill="1" applyBorder="1" applyAlignment="1" applyProtection="1">
      <alignment horizontal="center" vertical="center" wrapText="1"/>
      <protection hidden="1"/>
    </xf>
    <xf numFmtId="0" fontId="22" fillId="6" borderId="0" xfId="0" applyFont="1" applyFill="1" applyBorder="1" applyAlignment="1" applyProtection="1">
      <alignment horizontal="left" vertical="center" wrapText="1" indent="1"/>
      <protection hidden="1"/>
    </xf>
    <xf numFmtId="0" fontId="1" fillId="34" borderId="0" xfId="0" applyFont="1" applyFill="1" applyBorder="1" applyAlignment="1" applyProtection="1">
      <alignment horizontal="left" vertical="center" wrapText="1" indent="1"/>
      <protection hidden="1"/>
    </xf>
    <xf numFmtId="0" fontId="19" fillId="34" borderId="0" xfId="0" applyFont="1" applyFill="1" applyBorder="1" applyAlignment="1" applyProtection="1">
      <alignment horizontal="left" vertical="center" wrapText="1" indent="1"/>
      <protection hidden="1"/>
    </xf>
    <xf numFmtId="0" fontId="19" fillId="34" borderId="13" xfId="0" applyFont="1" applyFill="1" applyBorder="1" applyAlignment="1" applyProtection="1">
      <alignment horizontal="left" vertical="center" wrapText="1" indent="1"/>
      <protection hidden="1"/>
    </xf>
    <xf numFmtId="49" fontId="45" fillId="4" borderId="40" xfId="0" applyNumberFormat="1" applyFont="1" applyFill="1" applyBorder="1" applyAlignment="1" applyProtection="1">
      <alignment horizontal="center" vertical="center" wrapText="1"/>
      <protection locked="0"/>
    </xf>
    <xf numFmtId="49" fontId="45" fillId="4" borderId="41" xfId="0" applyNumberFormat="1" applyFont="1" applyFill="1" applyBorder="1" applyAlignment="1" applyProtection="1">
      <alignment horizontal="center" vertical="center" wrapText="1"/>
      <protection locked="0"/>
    </xf>
    <xf numFmtId="0" fontId="64" fillId="2" borderId="47" xfId="0" applyFont="1" applyFill="1" applyBorder="1" applyAlignment="1" applyProtection="1">
      <alignment horizontal="left" vertical="center" wrapText="1" indent="1"/>
      <protection hidden="1"/>
    </xf>
    <xf numFmtId="0" fontId="64" fillId="2" borderId="19" xfId="0" applyFont="1" applyFill="1" applyBorder="1" applyAlignment="1" applyProtection="1">
      <alignment horizontal="left" vertical="center" wrapText="1" indent="1"/>
      <protection hidden="1"/>
    </xf>
    <xf numFmtId="0" fontId="1" fillId="0" borderId="33" xfId="0" applyFont="1" applyBorder="1" applyAlignment="1" applyProtection="1">
      <alignment horizontal="left" vertical="center" indent="1"/>
      <protection locked="0"/>
    </xf>
    <xf numFmtId="0" fontId="39" fillId="0" borderId="25" xfId="0" applyFont="1" applyBorder="1" applyAlignment="1" applyProtection="1">
      <alignment horizontal="left" vertical="center" indent="1"/>
      <protection locked="0"/>
    </xf>
    <xf numFmtId="0" fontId="39" fillId="0" borderId="10" xfId="0" applyFont="1" applyBorder="1" applyAlignment="1" applyProtection="1">
      <alignment horizontal="left" vertical="center" indent="1"/>
      <protection locked="0"/>
    </xf>
    <xf numFmtId="0" fontId="29" fillId="4" borderId="0" xfId="0" applyFont="1" applyFill="1" applyBorder="1" applyAlignment="1" applyProtection="1">
      <alignment horizontal="left" vertical="center" indent="5"/>
      <protection hidden="1"/>
    </xf>
    <xf numFmtId="0" fontId="46" fillId="0" borderId="0" xfId="0" applyFont="1" applyFill="1" applyAlignment="1" applyProtection="1">
      <alignment horizontal="left" vertical="center" wrapText="1"/>
      <protection hidden="1"/>
    </xf>
    <xf numFmtId="0" fontId="117" fillId="26" borderId="0" xfId="0" applyFont="1" applyFill="1" applyAlignment="1" applyProtection="1">
      <alignment horizontal="left" vertical="center" indent="2"/>
      <protection hidden="1"/>
    </xf>
    <xf numFmtId="0" fontId="84" fillId="26" borderId="0" xfId="0" applyFont="1" applyFill="1" applyAlignment="1" applyProtection="1">
      <alignment horizontal="left" vertical="center" indent="1"/>
      <protection hidden="1"/>
    </xf>
    <xf numFmtId="0" fontId="1" fillId="34" borderId="0" xfId="0" applyFont="1" applyFill="1" applyBorder="1" applyAlignment="1" applyProtection="1">
      <alignment horizontal="left" vertical="top" wrapText="1" indent="1"/>
      <protection hidden="1"/>
    </xf>
    <xf numFmtId="0" fontId="11" fillId="34" borderId="0" xfId="0" applyFont="1" applyFill="1" applyBorder="1" applyAlignment="1" applyProtection="1">
      <alignment horizontal="left" vertical="top" wrapText="1" indent="1"/>
      <protection hidden="1"/>
    </xf>
    <xf numFmtId="0" fontId="173" fillId="34" borderId="0" xfId="0" applyFont="1" applyFill="1" applyAlignment="1" applyProtection="1">
      <alignment horizontal="left" vertical="center" wrapText="1"/>
      <protection hidden="1"/>
    </xf>
    <xf numFmtId="49" fontId="0" fillId="0" borderId="8" xfId="0" applyNumberFormat="1" applyBorder="1" applyAlignment="1" applyProtection="1">
      <alignment horizontal="left" vertical="top" wrapText="1"/>
      <protection hidden="1"/>
    </xf>
    <xf numFmtId="49" fontId="0" fillId="0" borderId="8" xfId="0" applyNumberFormat="1" applyBorder="1" applyAlignment="1" applyProtection="1">
      <alignment horizontal="left" vertical="top"/>
      <protection hidden="1"/>
    </xf>
    <xf numFmtId="49" fontId="116" fillId="27" borderId="25" xfId="0" applyNumberFormat="1" applyFont="1" applyFill="1" applyBorder="1" applyAlignment="1" applyProtection="1">
      <alignment horizontal="left" vertical="center" indent="1"/>
      <protection hidden="1"/>
    </xf>
    <xf numFmtId="49" fontId="116" fillId="27" borderId="10" xfId="0" applyNumberFormat="1" applyFont="1" applyFill="1" applyBorder="1" applyAlignment="1" applyProtection="1">
      <alignment horizontal="left" vertical="center" indent="1"/>
      <protection hidden="1"/>
    </xf>
    <xf numFmtId="0" fontId="62" fillId="34" borderId="8" xfId="0" applyFont="1" applyFill="1" applyBorder="1" applyAlignment="1" applyProtection="1">
      <alignment horizontal="left" vertical="center" wrapText="1"/>
      <protection hidden="1"/>
    </xf>
    <xf numFmtId="0" fontId="113" fillId="34" borderId="8" xfId="0" applyFont="1" applyFill="1" applyBorder="1" applyAlignment="1" applyProtection="1">
      <alignment horizontal="left" vertical="center" wrapText="1" indent="1"/>
      <protection hidden="1"/>
    </xf>
    <xf numFmtId="0" fontId="87" fillId="34" borderId="33" xfId="0" applyFont="1" applyFill="1" applyBorder="1" applyAlignment="1" applyProtection="1">
      <alignment horizontal="left" vertical="center" wrapText="1" indent="1"/>
      <protection hidden="1"/>
    </xf>
    <xf numFmtId="0" fontId="87" fillId="34" borderId="25" xfId="0" applyFont="1" applyFill="1" applyBorder="1" applyAlignment="1" applyProtection="1">
      <alignment horizontal="left" vertical="center" wrapText="1" indent="1"/>
      <protection hidden="1"/>
    </xf>
    <xf numFmtId="0" fontId="87" fillId="34" borderId="10" xfId="0" applyFont="1" applyFill="1" applyBorder="1" applyAlignment="1" applyProtection="1">
      <alignment horizontal="left" vertical="center" wrapText="1" indent="1"/>
      <protection hidden="1"/>
    </xf>
    <xf numFmtId="0" fontId="143" fillId="0" borderId="75" xfId="0" applyFont="1" applyBorder="1" applyAlignment="1" applyProtection="1">
      <alignment horizontal="left" vertical="center" wrapText="1"/>
      <protection hidden="1"/>
    </xf>
    <xf numFmtId="0" fontId="143" fillId="0" borderId="76" xfId="0" applyFont="1" applyBorder="1" applyAlignment="1" applyProtection="1">
      <alignment horizontal="left" vertical="center" wrapText="1"/>
      <protection hidden="1"/>
    </xf>
    <xf numFmtId="0" fontId="143" fillId="0" borderId="77" xfId="0" applyFont="1" applyBorder="1" applyAlignment="1" applyProtection="1">
      <alignment horizontal="left" vertical="center" wrapText="1"/>
      <protection hidden="1"/>
    </xf>
    <xf numFmtId="0" fontId="41" fillId="4" borderId="0" xfId="0" applyFont="1" applyFill="1" applyBorder="1" applyAlignment="1" applyProtection="1">
      <alignment horizontal="left" vertical="center" wrapText="1" indent="2"/>
    </xf>
    <xf numFmtId="0" fontId="41" fillId="4" borderId="13" xfId="0" applyFont="1" applyFill="1" applyBorder="1" applyAlignment="1" applyProtection="1">
      <alignment horizontal="left" vertical="center" wrapText="1" indent="2"/>
    </xf>
    <xf numFmtId="0" fontId="45" fillId="4" borderId="15" xfId="0" applyFont="1" applyFill="1" applyBorder="1" applyAlignment="1" applyProtection="1">
      <alignment horizontal="left" vertical="center" wrapText="1"/>
    </xf>
    <xf numFmtId="0" fontId="45" fillId="4" borderId="16" xfId="0" applyFont="1" applyFill="1" applyBorder="1" applyAlignment="1" applyProtection="1">
      <alignment horizontal="left" vertical="center" wrapText="1"/>
    </xf>
    <xf numFmtId="0" fontId="45" fillId="4" borderId="0" xfId="0" applyFont="1" applyFill="1" applyBorder="1" applyAlignment="1" applyProtection="1">
      <alignment horizontal="left" vertical="center" wrapText="1"/>
    </xf>
    <xf numFmtId="0" fontId="5" fillId="34" borderId="0" xfId="0" applyFont="1" applyFill="1" applyBorder="1" applyAlignment="1" applyProtection="1">
      <alignment horizontal="left" vertical="top" wrapText="1" indent="1"/>
      <protection hidden="1"/>
    </xf>
    <xf numFmtId="0" fontId="19" fillId="34" borderId="0" xfId="0" applyFont="1" applyFill="1" applyBorder="1" applyAlignment="1" applyProtection="1">
      <alignment horizontal="left" vertical="top" wrapText="1" indent="1"/>
      <protection hidden="1"/>
    </xf>
    <xf numFmtId="0" fontId="60" fillId="34" borderId="8" xfId="0" applyFont="1" applyFill="1" applyBorder="1" applyAlignment="1" applyProtection="1">
      <alignment horizontal="left" vertical="center" wrapText="1" indent="2"/>
      <protection hidden="1"/>
    </xf>
    <xf numFmtId="0" fontId="1" fillId="34" borderId="8" xfId="0" applyFont="1" applyFill="1" applyBorder="1" applyAlignment="1" applyProtection="1">
      <alignment horizontal="left" vertical="center" wrapText="1" indent="2"/>
      <protection hidden="1"/>
    </xf>
    <xf numFmtId="0" fontId="113" fillId="34" borderId="33" xfId="0" applyFont="1" applyFill="1" applyBorder="1" applyAlignment="1" applyProtection="1">
      <alignment horizontal="left" vertical="center" wrapText="1" indent="1"/>
      <protection hidden="1"/>
    </xf>
    <xf numFmtId="0" fontId="113" fillId="34" borderId="25" xfId="0" applyFont="1" applyFill="1" applyBorder="1" applyAlignment="1" applyProtection="1">
      <alignment horizontal="left" vertical="center" wrapText="1" indent="1"/>
      <protection hidden="1"/>
    </xf>
    <xf numFmtId="0" fontId="113" fillId="34" borderId="10" xfId="0" applyFont="1" applyFill="1" applyBorder="1" applyAlignment="1" applyProtection="1">
      <alignment horizontal="left" vertical="center" wrapText="1" indent="1"/>
      <protection hidden="1"/>
    </xf>
    <xf numFmtId="0" fontId="3" fillId="29" borderId="0" xfId="0" applyFont="1" applyFill="1" applyAlignment="1" applyProtection="1">
      <alignment horizontal="left" vertical="center" wrapText="1" indent="1"/>
      <protection hidden="1"/>
    </xf>
    <xf numFmtId="0" fontId="24" fillId="29" borderId="0" xfId="0" applyFont="1" applyFill="1" applyAlignment="1" applyProtection="1">
      <alignment horizontal="left" vertical="center" wrapText="1" indent="1"/>
      <protection hidden="1"/>
    </xf>
    <xf numFmtId="0" fontId="71" fillId="4" borderId="58" xfId="0" applyFont="1" applyFill="1" applyBorder="1" applyAlignment="1" applyProtection="1">
      <alignment horizontal="left" wrapText="1"/>
      <protection hidden="1"/>
    </xf>
    <xf numFmtId="0" fontId="126" fillId="4" borderId="0" xfId="0" applyFont="1" applyFill="1" applyAlignment="1" applyProtection="1">
      <alignment horizontal="left" vertical="center" indent="2"/>
      <protection hidden="1"/>
    </xf>
    <xf numFmtId="0" fontId="126" fillId="4" borderId="70" xfId="0" applyFont="1" applyFill="1" applyBorder="1" applyAlignment="1" applyProtection="1">
      <alignment horizontal="left" vertical="center" indent="2"/>
      <protection hidden="1"/>
    </xf>
    <xf numFmtId="0" fontId="33" fillId="4" borderId="0" xfId="0" applyFont="1" applyFill="1" applyAlignment="1" applyProtection="1">
      <alignment horizontal="left" vertical="center" wrapText="1"/>
      <protection hidden="1"/>
    </xf>
    <xf numFmtId="0" fontId="34" fillId="6" borderId="5" xfId="0" applyFont="1" applyFill="1" applyBorder="1" applyAlignment="1" applyProtection="1">
      <alignment horizontal="left"/>
      <protection hidden="1"/>
    </xf>
    <xf numFmtId="0" fontId="0" fillId="6" borderId="2" xfId="0" applyFill="1" applyBorder="1" applyAlignment="1" applyProtection="1">
      <alignment horizontal="left"/>
      <protection hidden="1"/>
    </xf>
    <xf numFmtId="0" fontId="34" fillId="6" borderId="5" xfId="0" applyFont="1" applyFill="1" applyBorder="1" applyAlignment="1" applyProtection="1">
      <alignment horizontal="left" vertical="center" wrapText="1"/>
      <protection hidden="1"/>
    </xf>
    <xf numFmtId="0" fontId="0" fillId="6" borderId="2" xfId="0" applyFont="1" applyFill="1" applyBorder="1" applyAlignment="1" applyProtection="1">
      <alignment horizontal="left" vertical="center" wrapText="1"/>
      <protection hidden="1"/>
    </xf>
    <xf numFmtId="0" fontId="38" fillId="4" borderId="0" xfId="0" quotePrefix="1" applyFont="1" applyFill="1" applyBorder="1" applyAlignment="1" applyProtection="1">
      <alignment horizontal="left" vertical="top" wrapText="1"/>
      <protection hidden="1"/>
    </xf>
    <xf numFmtId="0" fontId="55" fillId="4" borderId="0" xfId="0" applyFont="1" applyFill="1" applyBorder="1" applyAlignment="1" applyProtection="1">
      <alignment horizontal="left" vertical="center" indent="2"/>
      <protection hidden="1"/>
    </xf>
    <xf numFmtId="0" fontId="35" fillId="6" borderId="5" xfId="0" applyFont="1" applyFill="1" applyBorder="1" applyAlignment="1" applyProtection="1">
      <alignment horizontal="left" indent="1"/>
      <protection hidden="1"/>
    </xf>
    <xf numFmtId="0" fontId="40" fillId="6" borderId="2" xfId="0" applyFont="1" applyFill="1" applyBorder="1" applyAlignment="1" applyProtection="1">
      <alignment horizontal="left" indent="1"/>
      <protection hidden="1"/>
    </xf>
    <xf numFmtId="0" fontId="55" fillId="4" borderId="0" xfId="0" applyFont="1" applyFill="1" applyBorder="1" applyAlignment="1" applyProtection="1">
      <alignment horizontal="left" vertical="center" indent="1"/>
      <protection hidden="1"/>
    </xf>
    <xf numFmtId="0" fontId="55" fillId="4" borderId="13" xfId="0" applyFont="1" applyFill="1" applyBorder="1" applyAlignment="1" applyProtection="1">
      <alignment horizontal="left" vertical="center" indent="1"/>
      <protection hidden="1"/>
    </xf>
  </cellXfs>
  <cellStyles count="32">
    <cellStyle name="20 % - Akzent1 2" xfId="3" xr:uid="{00000000-0005-0000-0000-000000000000}"/>
    <cellStyle name="20 % - Akzent1 3" xfId="4" xr:uid="{00000000-0005-0000-0000-000001000000}"/>
    <cellStyle name="20 % - Akzent2 2" xfId="5" xr:uid="{00000000-0005-0000-0000-000002000000}"/>
    <cellStyle name="20 % - Akzent2 3" xfId="6" xr:uid="{00000000-0005-0000-0000-000003000000}"/>
    <cellStyle name="20 % - Akzent3 2" xfId="7" xr:uid="{00000000-0005-0000-0000-000004000000}"/>
    <cellStyle name="20 % - Akzent3 3" xfId="8" xr:uid="{00000000-0005-0000-0000-000005000000}"/>
    <cellStyle name="20 % - Akzent4 2" xfId="9" xr:uid="{00000000-0005-0000-0000-000006000000}"/>
    <cellStyle name="20 % - Akzent4 3" xfId="10" xr:uid="{00000000-0005-0000-0000-000007000000}"/>
    <cellStyle name="40 % - Akzent3 2" xfId="11" xr:uid="{00000000-0005-0000-0000-000008000000}"/>
    <cellStyle name="40 % - Akzent3 3" xfId="12" xr:uid="{00000000-0005-0000-0000-000009000000}"/>
    <cellStyle name="60 % - Akzent3 2" xfId="13" xr:uid="{00000000-0005-0000-0000-00000A000000}"/>
    <cellStyle name="60 % - Akzent3 3" xfId="14" xr:uid="{00000000-0005-0000-0000-00000B000000}"/>
    <cellStyle name="60 % - Akzent4 2" xfId="15" xr:uid="{00000000-0005-0000-0000-00000C000000}"/>
    <cellStyle name="60 % - Akzent4 3" xfId="16" xr:uid="{00000000-0005-0000-0000-00000D000000}"/>
    <cellStyle name="60 % - Akzent6 2" xfId="17" xr:uid="{00000000-0005-0000-0000-00000E000000}"/>
    <cellStyle name="60 % - Akzent6 3" xfId="18" xr:uid="{00000000-0005-0000-0000-00000F000000}"/>
    <cellStyle name="Link" xfId="1" builtinId="8"/>
    <cellStyle name="Notiz 2" xfId="19" xr:uid="{00000000-0005-0000-0000-000011000000}"/>
    <cellStyle name="Notiz 3" xfId="20" xr:uid="{00000000-0005-0000-0000-000012000000}"/>
    <cellStyle name="Standard" xfId="0" builtinId="0"/>
    <cellStyle name="Standard 2" xfId="2" xr:uid="{00000000-0005-0000-0000-000014000000}"/>
    <cellStyle name="Standard 2 2" xfId="21" xr:uid="{00000000-0005-0000-0000-000015000000}"/>
    <cellStyle name="Standard 2 2 2" xfId="22" xr:uid="{00000000-0005-0000-0000-000016000000}"/>
    <cellStyle name="Standard 2 3" xfId="23" xr:uid="{00000000-0005-0000-0000-000017000000}"/>
    <cellStyle name="Standard 3" xfId="24" xr:uid="{00000000-0005-0000-0000-000018000000}"/>
    <cellStyle name="Standard 3 2" xfId="25" xr:uid="{00000000-0005-0000-0000-000019000000}"/>
    <cellStyle name="Standard 4" xfId="26" xr:uid="{00000000-0005-0000-0000-00001A000000}"/>
    <cellStyle name="Standard 4 2" xfId="27" xr:uid="{00000000-0005-0000-0000-00001B000000}"/>
    <cellStyle name="Standard 5" xfId="28" xr:uid="{00000000-0005-0000-0000-00001C000000}"/>
    <cellStyle name="Standard 6" xfId="29" xr:uid="{00000000-0005-0000-0000-00001D000000}"/>
    <cellStyle name="Standard 7" xfId="30" xr:uid="{00000000-0005-0000-0000-00001E000000}"/>
    <cellStyle name="Standard 8" xfId="31" xr:uid="{00000000-0005-0000-0000-00001F000000}"/>
  </cellStyles>
  <dxfs count="725">
    <dxf>
      <fill>
        <patternFill>
          <bgColor rgb="FFFF0000"/>
        </patternFill>
      </fill>
    </dxf>
    <dxf>
      <font>
        <b val="0"/>
        <i val="0"/>
        <color rgb="FFFF0000"/>
      </font>
    </dxf>
    <dxf>
      <fill>
        <patternFill>
          <bgColor rgb="FFFFFF00"/>
        </patternFill>
      </fill>
    </dxf>
    <dxf>
      <fill>
        <patternFill>
          <bgColor rgb="FFC00000"/>
        </patternFill>
      </fill>
    </dxf>
    <dxf>
      <fill>
        <patternFill>
          <bgColor rgb="FFC00000"/>
        </patternFill>
      </fill>
    </dxf>
    <dxf>
      <border>
        <left style="hair">
          <color auto="1"/>
        </left>
        <right style="thin">
          <color theme="0" tint="-0.499984740745262"/>
        </right>
        <top style="hair">
          <color auto="1"/>
        </top>
        <bottom style="hair">
          <color auto="1"/>
        </bottom>
        <vertical/>
        <horizontal/>
      </border>
    </dxf>
    <dxf>
      <border>
        <left style="hair">
          <color theme="0" tint="-0.499984740745262"/>
        </left>
        <right style="thin">
          <color theme="0" tint="-0.499984740745262"/>
        </right>
        <top style="hair">
          <color theme="0" tint="-0.499984740745262"/>
        </top>
        <bottom style="hair">
          <color theme="0" tint="-0.499984740745262"/>
        </bottom>
        <vertical/>
        <horizontal/>
      </border>
    </dxf>
    <dxf>
      <font>
        <color theme="0"/>
      </font>
    </dxf>
    <dxf>
      <font>
        <color rgb="FFFF0000"/>
      </font>
    </dxf>
    <dxf>
      <font>
        <color theme="0"/>
      </font>
    </dxf>
    <dxf>
      <font>
        <color rgb="FFFF0000"/>
      </font>
    </dxf>
    <dxf>
      <font>
        <color theme="0"/>
      </font>
    </dxf>
    <dxf>
      <font>
        <color rgb="FFFF0000"/>
      </font>
    </dxf>
    <dxf>
      <font>
        <color theme="1"/>
      </font>
      <fill>
        <patternFill>
          <bgColor theme="0" tint="-0.14996795556505021"/>
        </patternFill>
      </fill>
      <border>
        <left style="hair">
          <color auto="1"/>
        </left>
        <right style="thin">
          <color auto="1"/>
        </right>
        <top style="hair">
          <color auto="1"/>
        </top>
        <bottom style="hair">
          <color auto="1"/>
        </bottom>
      </border>
    </dxf>
    <dxf>
      <fill>
        <patternFill>
          <bgColor rgb="FFC00000"/>
        </patternFill>
      </fill>
      <border>
        <left style="thin">
          <color auto="1"/>
        </left>
        <right style="thin">
          <color auto="1"/>
        </right>
        <top style="thin">
          <color auto="1"/>
        </top>
        <bottom style="thin">
          <color auto="1"/>
        </bottom>
      </border>
    </dxf>
    <dxf>
      <font>
        <color theme="0"/>
      </font>
      <fill>
        <patternFill>
          <bgColor theme="0" tint="-0.34998626667073579"/>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rgb="FFFF0000"/>
        </patternFill>
      </fill>
    </dxf>
    <dxf>
      <font>
        <color theme="1"/>
      </font>
      <fill>
        <patternFill>
          <bgColor theme="0" tint="-0.14996795556505021"/>
        </patternFill>
      </fill>
      <border>
        <left style="hair">
          <color auto="1"/>
        </left>
        <right style="thin">
          <color auto="1"/>
        </right>
        <top style="hair">
          <color auto="1"/>
        </top>
        <bottom style="hair">
          <color auto="1"/>
        </bottom>
      </border>
    </dxf>
    <dxf>
      <fill>
        <patternFill>
          <bgColor rgb="FFC00000"/>
        </patternFill>
      </fill>
      <border>
        <left style="thin">
          <color auto="1"/>
        </left>
        <right style="thin">
          <color auto="1"/>
        </right>
        <top style="thin">
          <color auto="1"/>
        </top>
        <bottom style="thin">
          <color auto="1"/>
        </bottom>
      </border>
    </dxf>
    <dxf>
      <font>
        <color theme="0"/>
      </font>
      <fill>
        <patternFill>
          <bgColor theme="0" tint="-0.34998626667073579"/>
        </patternFill>
      </fill>
      <border>
        <left style="thin">
          <color auto="1"/>
        </left>
        <right style="thin">
          <color auto="1"/>
        </right>
        <top style="thin">
          <color auto="1"/>
        </top>
        <bottom style="thin">
          <color auto="1"/>
        </bottom>
        <vertical/>
        <horizontal/>
      </border>
    </dxf>
    <dxf>
      <fill>
        <patternFill>
          <bgColor rgb="FFFF0000"/>
        </patternFill>
      </fill>
    </dxf>
    <dxf>
      <border>
        <bottom/>
        <vertical/>
        <horizontal/>
      </border>
    </dxf>
    <dxf>
      <border>
        <bottom/>
        <vertical/>
        <horizontal/>
      </border>
    </dxf>
    <dxf>
      <border>
        <bottom/>
        <vertical/>
        <horizontal/>
      </border>
    </dxf>
    <dxf>
      <fill>
        <patternFill>
          <bgColor theme="5" tint="0.79998168889431442"/>
        </patternFill>
      </fill>
    </dxf>
    <dxf>
      <fill>
        <patternFill>
          <bgColor rgb="FFFF0000"/>
        </patternFill>
      </fill>
    </dxf>
    <dxf>
      <font>
        <color rgb="FFFF000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FF0000"/>
      </font>
    </dxf>
    <dxf>
      <font>
        <color rgb="FFFF0000"/>
      </font>
    </dxf>
    <dxf>
      <fill>
        <patternFill>
          <bgColor rgb="FFFF0000"/>
        </patternFill>
      </fill>
    </dxf>
    <dxf>
      <font>
        <color rgb="FFFF0000"/>
      </font>
    </dxf>
    <dxf>
      <font>
        <color theme="0"/>
      </font>
      <fill>
        <patternFill>
          <bgColor theme="0"/>
        </patternFill>
      </fill>
    </dxf>
    <dxf>
      <fill>
        <patternFill>
          <bgColor rgb="FFFF0000"/>
        </patternFill>
      </fill>
    </dxf>
    <dxf>
      <font>
        <color rgb="FFFF0000"/>
      </font>
    </dxf>
    <dxf>
      <font>
        <color theme="0"/>
      </font>
      <fill>
        <patternFill>
          <bgColor theme="0"/>
        </patternFill>
      </fill>
    </dxf>
    <dxf>
      <fill>
        <patternFill>
          <bgColor rgb="FFFF0000"/>
        </patternFill>
      </fill>
    </dxf>
    <dxf>
      <font>
        <color rgb="FFFF0000"/>
      </font>
    </dxf>
    <dxf>
      <fill>
        <patternFill>
          <bgColor theme="9" tint="-0.24994659260841701"/>
        </patternFill>
      </fill>
    </dxf>
    <dxf>
      <fill>
        <patternFill>
          <bgColor theme="9" tint="-0.24994659260841701"/>
        </patternFill>
      </fill>
    </dxf>
    <dxf>
      <fill>
        <patternFill>
          <bgColor rgb="FFC00000"/>
        </patternFill>
      </fill>
    </dxf>
    <dxf>
      <fill>
        <patternFill>
          <bgColor theme="0" tint="-0.24994659260841701"/>
        </patternFill>
      </fill>
    </dxf>
    <dxf>
      <font>
        <color theme="0"/>
      </font>
      <fill>
        <patternFill>
          <bgColor theme="0"/>
        </patternFill>
      </fill>
    </dxf>
    <dxf>
      <fill>
        <patternFill>
          <bgColor rgb="FFFF0000"/>
        </patternFill>
      </fill>
    </dxf>
    <dxf>
      <fill>
        <patternFill>
          <bgColor rgb="FFFFC000"/>
        </patternFill>
      </fill>
    </dxf>
    <dxf>
      <fill>
        <patternFill>
          <bgColor rgb="FFFFC000"/>
        </patternFill>
      </fill>
    </dxf>
    <dxf>
      <fill>
        <patternFill>
          <bgColor rgb="FFFF0000"/>
        </patternFill>
      </fill>
    </dxf>
    <dxf>
      <font>
        <color rgb="FF0070C0"/>
      </font>
    </dxf>
    <dxf>
      <font>
        <color rgb="FF0070C0"/>
      </font>
    </dxf>
    <dxf>
      <font>
        <color rgb="FFFFC000"/>
      </font>
    </dxf>
    <dxf>
      <font>
        <color rgb="FFFFC000"/>
      </font>
    </dxf>
    <dxf>
      <font>
        <b val="0"/>
        <i val="0"/>
        <color theme="0" tint="-0.24994659260841701"/>
      </font>
    </dxf>
    <dxf>
      <font>
        <color theme="0" tint="-0.24994659260841701"/>
      </font>
    </dxf>
    <dxf>
      <font>
        <color rgb="FF0070C0"/>
      </font>
    </dxf>
    <dxf>
      <font>
        <color rgb="FF0070C0"/>
      </font>
    </dxf>
    <dxf>
      <font>
        <color theme="0" tint="-0.24994659260841701"/>
      </font>
    </dxf>
    <dxf>
      <font>
        <color theme="0" tint="-0.24994659260841701"/>
      </font>
      <fill>
        <patternFill patternType="none">
          <bgColor auto="1"/>
        </patternFill>
      </fill>
    </dxf>
    <dxf>
      <font>
        <b val="0"/>
        <i val="0"/>
        <color theme="0" tint="-0.24994659260841701"/>
      </font>
    </dxf>
    <dxf>
      <font>
        <color theme="1" tint="0.34998626667073579"/>
      </font>
      <fill>
        <patternFill patternType="none">
          <bgColor auto="1"/>
        </patternFill>
      </fill>
    </dxf>
    <dxf>
      <font>
        <color theme="1" tint="0.24994659260841701"/>
      </font>
    </dxf>
    <dxf>
      <font>
        <color theme="0" tint="-0.24994659260841701"/>
      </font>
      <fill>
        <patternFill patternType="none">
          <bgColor auto="1"/>
        </patternFill>
      </fill>
    </dxf>
    <dxf>
      <font>
        <b val="0"/>
        <i val="0"/>
        <color theme="0" tint="-0.24994659260841701"/>
      </font>
    </dxf>
    <dxf>
      <font>
        <b val="0"/>
        <i val="0"/>
        <color theme="0"/>
      </font>
      <fill>
        <patternFill>
          <bgColor rgb="FFC00000"/>
        </patternFill>
      </fill>
    </dxf>
    <dxf>
      <font>
        <color rgb="FFC00000"/>
      </font>
    </dxf>
    <dxf>
      <font>
        <color rgb="FFC00000"/>
      </font>
    </dxf>
    <dxf>
      <font>
        <b val="0"/>
        <i val="0"/>
        <color theme="0" tint="-0.24994659260841701"/>
      </font>
    </dxf>
    <dxf>
      <font>
        <b val="0"/>
        <i val="0"/>
        <color theme="0" tint="-0.24994659260841701"/>
      </font>
    </dxf>
    <dxf>
      <font>
        <color theme="3"/>
      </font>
    </dxf>
    <dxf>
      <font>
        <color theme="3"/>
      </font>
    </dxf>
    <dxf>
      <font>
        <color rgb="FF0070C0"/>
      </font>
      <fill>
        <patternFill>
          <bgColor rgb="FFFFFFCC"/>
        </patternFill>
      </fill>
    </dxf>
    <dxf>
      <font>
        <b val="0"/>
        <i val="0"/>
        <color theme="0" tint="-0.24994659260841701"/>
      </font>
    </dxf>
    <dxf>
      <font>
        <color rgb="FF0070C0"/>
      </font>
      <fill>
        <patternFill>
          <bgColor rgb="FFFFFFCC"/>
        </patternFill>
      </fill>
    </dxf>
    <dxf>
      <font>
        <color theme="0" tint="-0.24994659260841701"/>
      </font>
    </dxf>
    <dxf>
      <font>
        <color theme="0" tint="-0.24994659260841701"/>
      </font>
    </dxf>
    <dxf>
      <font>
        <color theme="0" tint="-0.24994659260841701"/>
      </font>
    </dxf>
    <dxf>
      <font>
        <b val="0"/>
        <i val="0"/>
        <color theme="0" tint="-0.24994659260841701"/>
      </font>
    </dxf>
    <dxf>
      <font>
        <b val="0"/>
        <i val="0"/>
        <color theme="0" tint="-0.24994659260841701"/>
      </font>
    </dxf>
    <dxf>
      <font>
        <b val="0"/>
        <i val="0"/>
        <color theme="0" tint="-0.24994659260841701"/>
      </font>
    </dxf>
    <dxf>
      <font>
        <color theme="0" tint="-0.34998626667073579"/>
      </font>
    </dxf>
    <dxf>
      <font>
        <color rgb="FFFF0000"/>
      </font>
      <fill>
        <patternFill>
          <bgColor rgb="FFFFFFCC"/>
        </patternFill>
      </fill>
    </dxf>
    <dxf>
      <font>
        <color rgb="FF0070C0"/>
      </font>
      <fill>
        <patternFill>
          <bgColor rgb="FFFFFFCC"/>
        </patternFill>
      </fill>
    </dxf>
    <dxf>
      <font>
        <color rgb="FF0070C0"/>
      </font>
      <fill>
        <patternFill>
          <bgColor rgb="FFFFFFCC"/>
        </patternFill>
      </fill>
    </dxf>
    <dxf>
      <font>
        <color rgb="FFC00000"/>
      </font>
      <fill>
        <patternFill patternType="none">
          <bgColor auto="1"/>
        </patternFill>
      </fill>
    </dxf>
    <dxf>
      <font>
        <b val="0"/>
        <i val="0"/>
        <color theme="0" tint="-0.24994659260841701"/>
      </font>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b val="0"/>
        <i val="0"/>
        <color theme="0" tint="-0.24994659260841701"/>
      </font>
    </dxf>
    <dxf>
      <font>
        <b val="0"/>
        <i val="0"/>
        <color theme="0" tint="-0.24994659260841701"/>
      </font>
    </dxf>
    <dxf>
      <font>
        <color theme="0" tint="-0.24994659260841701"/>
      </font>
      <fill>
        <patternFill patternType="none">
          <bgColor auto="1"/>
        </patternFill>
      </fill>
    </dxf>
    <dxf>
      <font>
        <b val="0"/>
        <i val="0"/>
        <color theme="0" tint="-0.24994659260841701"/>
      </font>
    </dxf>
    <dxf>
      <font>
        <b val="0"/>
        <i val="0"/>
        <color theme="0" tint="-0.2499465926084170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tint="0.24994659260841701"/>
        </patternFill>
      </fill>
    </dxf>
    <dxf>
      <font>
        <color theme="0"/>
      </font>
      <fill>
        <patternFill>
          <bgColor rgb="FFC00000"/>
        </patternFill>
      </fill>
    </dxf>
    <dxf>
      <fill>
        <patternFill>
          <bgColor theme="0" tint="-0.34998626667073579"/>
        </patternFill>
      </fill>
    </dxf>
    <dxf>
      <font>
        <color theme="0"/>
      </font>
      <fill>
        <patternFill>
          <bgColor rgb="FFC00000"/>
        </patternFill>
      </fill>
    </dxf>
    <dxf>
      <font>
        <color theme="0"/>
      </font>
      <fill>
        <patternFill>
          <bgColor rgb="FFC00000"/>
        </patternFill>
      </fill>
    </dxf>
    <dxf>
      <fill>
        <patternFill>
          <bgColor theme="0" tint="-0.34998626667073579"/>
        </patternFill>
      </fill>
    </dxf>
    <dxf>
      <font>
        <color theme="0"/>
      </font>
      <fill>
        <patternFill>
          <bgColor theme="6"/>
        </patternFill>
      </fill>
    </dxf>
    <dxf>
      <font>
        <b val="0"/>
        <i val="0"/>
        <color theme="0"/>
      </font>
      <fill>
        <patternFill>
          <bgColor rgb="FFC00000"/>
        </patternFill>
      </fill>
    </dxf>
    <dxf>
      <fill>
        <patternFill>
          <bgColor theme="1" tint="0.34998626667073579"/>
        </patternFill>
      </fill>
    </dxf>
    <dxf>
      <fill>
        <patternFill>
          <bgColor theme="4" tint="0.59996337778862885"/>
        </patternFill>
      </fill>
    </dxf>
    <dxf>
      <fill>
        <patternFill>
          <bgColor theme="1" tint="0.34998626667073579"/>
        </patternFill>
      </fill>
    </dxf>
    <dxf>
      <fill>
        <patternFill>
          <bgColor theme="4" tint="0.59996337778862885"/>
        </patternFill>
      </fill>
    </dxf>
    <dxf>
      <font>
        <b val="0"/>
        <i val="0"/>
        <color theme="6" tint="-0.24994659260841701"/>
      </font>
    </dxf>
    <dxf>
      <font>
        <b val="0"/>
        <i val="0"/>
        <color rgb="FFFF0000"/>
      </font>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ont>
        <color theme="0"/>
      </font>
      <fill>
        <patternFill>
          <bgColor rgb="FFC00000"/>
        </patternFill>
      </fill>
    </dxf>
    <dxf>
      <font>
        <b/>
        <i val="0"/>
        <color rgb="FFFFFF00"/>
      </font>
      <fill>
        <patternFill>
          <bgColor theme="3" tint="-0.24994659260841701"/>
        </patternFill>
      </fill>
    </dxf>
    <dxf>
      <font>
        <color theme="0"/>
      </font>
      <fill>
        <patternFill>
          <bgColor rgb="FFC00000"/>
        </patternFill>
      </fill>
    </dxf>
    <dxf>
      <font>
        <b/>
        <i val="0"/>
        <color rgb="FFFFFF00"/>
      </font>
      <fill>
        <patternFill>
          <bgColor theme="3" tint="-0.24994659260841701"/>
        </patternFill>
      </fill>
    </dxf>
    <dxf>
      <font>
        <color theme="0"/>
      </font>
      <fill>
        <patternFill>
          <bgColor rgb="FFC00000"/>
        </patternFill>
      </fill>
    </dxf>
    <dxf>
      <font>
        <color theme="0"/>
      </font>
      <fill>
        <patternFill>
          <bgColor theme="6" tint="-0.24994659260841701"/>
        </patternFill>
      </fill>
    </dxf>
    <dxf>
      <fill>
        <patternFill>
          <bgColor theme="6" tint="-0.24994659260841701"/>
        </patternFill>
      </fill>
    </dxf>
    <dxf>
      <fill>
        <patternFill>
          <bgColor rgb="FFC00000"/>
        </patternFill>
      </fill>
    </dxf>
    <dxf>
      <font>
        <color theme="0"/>
      </font>
      <fill>
        <patternFill>
          <bgColor theme="6" tint="-0.24994659260841701"/>
        </patternFill>
      </fill>
    </dxf>
    <dxf>
      <fill>
        <patternFill>
          <bgColor theme="5" tint="0.79998168889431442"/>
        </patternFill>
      </fill>
    </dxf>
    <dxf>
      <font>
        <color theme="0"/>
      </font>
      <fill>
        <patternFill>
          <bgColor theme="6" tint="-0.24994659260841701"/>
        </patternFill>
      </fill>
    </dxf>
    <dxf>
      <font>
        <b val="0"/>
        <i val="0"/>
        <color theme="0"/>
      </font>
      <fill>
        <patternFill>
          <bgColor rgb="FFC00000"/>
        </patternFill>
      </fill>
    </dxf>
    <dxf>
      <fill>
        <patternFill>
          <bgColor theme="6" tint="-0.24994659260841701"/>
        </patternFill>
      </fill>
    </dxf>
    <dxf>
      <fill>
        <patternFill>
          <bgColor rgb="FFC00000"/>
        </patternFill>
      </fill>
    </dxf>
    <dxf>
      <font>
        <b val="0"/>
        <i val="0"/>
        <color theme="6" tint="-0.24994659260841701"/>
      </font>
    </dxf>
    <dxf>
      <font>
        <b val="0"/>
        <i val="0"/>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patternType="none">
          <bgColor auto="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patternType="none">
          <bgColor auto="1"/>
        </patternFill>
      </fill>
    </dxf>
    <dxf>
      <font>
        <color rgb="FFC00000"/>
      </font>
    </dxf>
    <dxf>
      <font>
        <color rgb="FF0070C0"/>
      </font>
    </dxf>
    <dxf>
      <font>
        <color rgb="FFC00000"/>
      </font>
    </dxf>
    <dxf>
      <font>
        <color rgb="FFC00000"/>
      </font>
    </dxf>
    <dxf>
      <fill>
        <patternFill>
          <bgColor theme="0" tint="-0.14996795556505021"/>
        </patternFill>
      </fill>
    </dxf>
    <dxf>
      <fill>
        <patternFill>
          <bgColor theme="0" tint="-0.14996795556505021"/>
        </patternFill>
      </fill>
    </dxf>
    <dxf>
      <fill>
        <patternFill>
          <bgColor theme="0" tint="-0.24994659260841701"/>
        </patternFill>
      </fill>
    </dxf>
    <dxf>
      <fill>
        <patternFill>
          <bgColor theme="1" tint="0.34998626667073579"/>
        </patternFill>
      </fill>
    </dxf>
    <dxf>
      <font>
        <color rgb="FF0070C0"/>
      </font>
    </dxf>
    <dxf>
      <font>
        <color rgb="FFC00000"/>
      </font>
    </dxf>
    <dxf>
      <font>
        <color theme="0"/>
      </font>
      <fill>
        <patternFill>
          <bgColor theme="0"/>
        </patternFill>
      </fill>
      <border>
        <left/>
        <right/>
        <top/>
        <bottom/>
        <vertical/>
        <horizontal/>
      </border>
    </dxf>
    <dxf>
      <font>
        <color theme="0"/>
      </font>
      <fill>
        <patternFill>
          <bgColor theme="0"/>
        </patternFill>
      </fill>
      <border>
        <left/>
        <right/>
        <top/>
        <bottom style="thin">
          <color theme="0"/>
        </bottom>
      </border>
    </dxf>
    <dxf>
      <font>
        <color theme="0"/>
      </font>
      <fill>
        <patternFill>
          <bgColor theme="0"/>
        </patternFill>
      </fill>
      <border>
        <left/>
        <right/>
        <top/>
        <bottom style="thin">
          <color theme="0"/>
        </bottom>
      </border>
    </dxf>
    <dxf>
      <font>
        <color theme="0"/>
      </font>
      <fill>
        <patternFill>
          <bgColor theme="0"/>
        </patternFill>
      </fill>
      <border>
        <left/>
        <right/>
        <top/>
        <bottom/>
        <vertical/>
        <horizontal/>
      </border>
    </dxf>
    <dxf>
      <font>
        <color theme="0"/>
      </font>
      <fill>
        <patternFill>
          <bgColor theme="0"/>
        </patternFill>
      </fill>
      <border>
        <left/>
        <right/>
        <top/>
        <bottom style="thin">
          <color theme="0"/>
        </bottom>
      </border>
    </dxf>
    <dxf>
      <fill>
        <patternFill>
          <bgColor theme="0" tint="-0.14996795556505021"/>
        </patternFill>
      </fill>
    </dxf>
    <dxf>
      <font>
        <b/>
        <i val="0"/>
        <color rgb="FFC00000"/>
      </font>
    </dxf>
    <dxf>
      <font>
        <b/>
        <i val="0"/>
        <color theme="6" tint="-0.24994659260841701"/>
      </font>
      <fill>
        <patternFill patternType="none">
          <bgColor auto="1"/>
        </patternFill>
      </fill>
    </dxf>
    <dxf>
      <font>
        <b/>
        <i val="0"/>
        <color rgb="FFC00000"/>
      </font>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1" tint="0.34998626667073579"/>
      </font>
      <fill>
        <patternFill>
          <bgColor theme="1" tint="0.34998626667073579"/>
        </patternFill>
      </fill>
    </dxf>
    <dxf>
      <font>
        <color theme="1" tint="0.34998626667073579"/>
      </font>
      <fill>
        <patternFill>
          <bgColor theme="1" tint="0.34998626667073579"/>
        </patternFill>
      </fill>
    </dxf>
    <dxf>
      <fill>
        <patternFill>
          <bgColor theme="1" tint="0.34998626667073579"/>
        </patternFill>
      </fill>
    </dxf>
    <dxf>
      <font>
        <b/>
        <i val="0"/>
        <color theme="6" tint="-0.24994659260841701"/>
      </font>
      <fill>
        <patternFill patternType="none">
          <bgColor auto="1"/>
        </patternFill>
      </fill>
    </dxf>
    <dxf>
      <font>
        <b val="0"/>
        <i val="0"/>
        <color theme="0"/>
      </font>
      <fill>
        <patternFill>
          <bgColor rgb="FFC00000"/>
        </patternFill>
      </fill>
    </dxf>
    <dxf>
      <fill>
        <patternFill>
          <bgColor theme="6" tint="-0.24994659260841701"/>
        </patternFill>
      </fill>
    </dxf>
    <dxf>
      <font>
        <b val="0"/>
        <i val="0"/>
        <color theme="0"/>
      </font>
      <fill>
        <patternFill>
          <bgColor rgb="FFC00000"/>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tint="0.499984740745262"/>
      </font>
      <fill>
        <patternFill patternType="none">
          <bgColor auto="1"/>
        </patternFill>
      </fill>
    </dxf>
    <dxf>
      <fill>
        <patternFill>
          <bgColor rgb="FFFFFFCC"/>
        </patternFill>
      </fill>
    </dxf>
    <dxf>
      <font>
        <color theme="1" tint="0.499984740745262"/>
      </font>
      <fill>
        <patternFill patternType="none">
          <bgColor auto="1"/>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ont>
        <color theme="1"/>
      </font>
      <fill>
        <patternFill>
          <bgColor rgb="FFFFFFCC"/>
        </patternFill>
      </fill>
    </dxf>
    <dxf>
      <font>
        <color theme="1"/>
      </font>
      <fill>
        <patternFill patternType="none">
          <bgColor auto="1"/>
        </patternFill>
      </fill>
    </dxf>
    <dxf>
      <font>
        <color theme="0"/>
      </font>
      <fill>
        <patternFill>
          <bgColor theme="0"/>
        </patternFill>
      </fill>
    </dxf>
    <dxf>
      <fill>
        <patternFill>
          <bgColor rgb="FFFFFFCC"/>
        </patternFill>
      </fill>
    </dxf>
    <dxf>
      <font>
        <color theme="1"/>
      </font>
      <fill>
        <patternFill patternType="none">
          <bgColor auto="1"/>
        </patternFill>
      </fill>
    </dxf>
    <dxf>
      <font>
        <color theme="0"/>
      </font>
      <fill>
        <patternFill>
          <bgColor theme="0"/>
        </patternFill>
      </fill>
    </dxf>
    <dxf>
      <fill>
        <patternFill>
          <bgColor rgb="FFFFFFCC"/>
        </patternFill>
      </fill>
    </dxf>
    <dxf>
      <font>
        <color theme="1"/>
      </font>
      <fill>
        <patternFill patternType="none">
          <bgColor auto="1"/>
        </patternFill>
      </fill>
    </dxf>
    <dxf>
      <font>
        <color theme="0"/>
      </font>
      <fill>
        <patternFill>
          <bgColor theme="0"/>
        </patternFill>
      </fill>
    </dxf>
    <dxf>
      <font>
        <color theme="0"/>
      </font>
      <fill>
        <patternFill>
          <bgColor theme="0"/>
        </patternFill>
      </fill>
    </dxf>
    <dxf>
      <font>
        <color rgb="FF002060"/>
      </font>
      <fill>
        <patternFill patternType="none">
          <bgColor auto="1"/>
        </patternFill>
      </fill>
    </dxf>
    <dxf>
      <fill>
        <patternFill>
          <bgColor theme="1" tint="0.34998626667073579"/>
        </patternFill>
      </fill>
    </dxf>
    <dxf>
      <font>
        <color rgb="FF002060"/>
      </font>
      <fill>
        <patternFill patternType="none">
          <bgColor auto="1"/>
        </patternFill>
      </fill>
    </dxf>
    <dxf>
      <font>
        <color theme="1" tint="0.499984740745262"/>
      </font>
      <fill>
        <patternFill patternType="none">
          <bgColor auto="1"/>
        </patternFill>
      </fill>
    </dxf>
    <dxf>
      <fill>
        <patternFill>
          <bgColor theme="0"/>
        </patternFill>
      </fill>
      <border>
        <left style="thin">
          <color theme="0"/>
        </left>
        <right style="thin">
          <color theme="0"/>
        </right>
        <top style="thin">
          <color theme="0"/>
        </top>
        <bottom style="thin">
          <color theme="0"/>
        </bottom>
      </border>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bgColor theme="0"/>
        </patternFill>
      </fill>
    </dxf>
    <dxf>
      <font>
        <color theme="0"/>
      </font>
    </dxf>
    <dxf>
      <fill>
        <patternFill>
          <bgColor rgb="FFFFFFCC"/>
        </patternFill>
      </fill>
    </dxf>
    <dxf>
      <font>
        <color theme="1"/>
      </font>
      <fill>
        <patternFill patternType="none">
          <bgColor auto="1"/>
        </patternFill>
      </fill>
    </dxf>
    <dxf>
      <font>
        <color theme="0"/>
      </font>
      <fill>
        <patternFill>
          <bgColor theme="0"/>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auto="1"/>
      </font>
      <fill>
        <patternFill patternType="solid">
          <bgColor rgb="FFFFFFCC"/>
        </patternFill>
      </fill>
    </dxf>
    <dxf>
      <font>
        <color theme="1" tint="0.499984740745262"/>
      </font>
      <fill>
        <patternFill patternType="none">
          <bgColor auto="1"/>
        </patternFill>
      </fill>
    </dxf>
    <dxf>
      <font>
        <color theme="0"/>
      </font>
      <fill>
        <patternFill>
          <bgColor theme="0"/>
        </patternFill>
      </fill>
      <border>
        <left/>
        <right/>
        <top style="thin">
          <color theme="0"/>
        </top>
        <bottom style="thin">
          <color theme="0"/>
        </bottom>
      </border>
    </dxf>
    <dxf>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1" tint="0.499984740745262"/>
      </font>
      <fill>
        <patternFill patternType="none">
          <bgColor auto="1"/>
        </patternFill>
      </fill>
    </dxf>
    <dxf>
      <fill>
        <patternFill>
          <bgColor theme="1" tint="0.34998626667073579"/>
        </patternFill>
      </fill>
    </dxf>
    <dxf>
      <font>
        <color auto="1"/>
      </font>
      <fill>
        <patternFill patternType="solid">
          <bgColor rgb="FFFFFFCC"/>
        </patternFill>
      </fill>
    </dxf>
    <dxf>
      <font>
        <color theme="1" tint="0.499984740745262"/>
      </font>
      <fill>
        <patternFill patternType="none">
          <bgColor auto="1"/>
        </patternFill>
      </fill>
    </dxf>
    <dxf>
      <font>
        <color theme="0"/>
      </font>
      <fill>
        <patternFill>
          <bgColor rgb="FFFF0000"/>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theme="1" tint="0.24994659260841701"/>
        </patternFill>
      </fill>
    </dxf>
    <dxf>
      <font>
        <color rgb="FFC00000"/>
      </font>
    </dxf>
    <dxf>
      <font>
        <color theme="1"/>
      </font>
      <fill>
        <patternFill>
          <bgColor rgb="FFFFFF00"/>
        </patternFill>
      </fill>
      <border>
        <left style="thin">
          <color auto="1"/>
        </left>
        <right style="thin">
          <color auto="1"/>
        </right>
        <top style="thin">
          <color auto="1"/>
        </top>
        <bottom style="thin">
          <color auto="1"/>
        </bottom>
        <vertical/>
        <horizontal/>
      </border>
    </dxf>
    <dxf>
      <font>
        <color theme="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tint="-0.34998626667073579"/>
      </font>
    </dxf>
    <dxf>
      <font>
        <color rgb="FFC00000"/>
      </font>
    </dxf>
    <dxf>
      <font>
        <color theme="0"/>
      </font>
    </dxf>
    <dxf>
      <font>
        <color rgb="FFC00000"/>
      </font>
    </dxf>
    <dxf>
      <font>
        <color rgb="FFC00000"/>
      </font>
    </dxf>
    <dxf>
      <fill>
        <patternFill>
          <bgColor rgb="FFFF0000"/>
        </patternFill>
      </fill>
    </dxf>
    <dxf>
      <font>
        <color theme="0"/>
      </font>
    </dxf>
    <dxf>
      <font>
        <color rgb="FFC00000"/>
      </font>
    </dxf>
    <dxf>
      <font>
        <color rgb="FFC00000"/>
      </font>
    </dxf>
    <dxf>
      <font>
        <color rgb="FFC00000"/>
      </font>
    </dxf>
    <dxf>
      <font>
        <color theme="0"/>
      </font>
    </dxf>
    <dxf>
      <font>
        <color theme="1" tint="0.24994659260841701"/>
      </font>
      <fill>
        <patternFill>
          <bgColor theme="1" tint="0.24994659260841701"/>
        </patternFill>
      </fill>
    </dxf>
    <dxf>
      <fill>
        <patternFill>
          <bgColor theme="1" tint="0.24994659260841701"/>
        </patternFill>
      </fill>
    </dxf>
    <dxf>
      <font>
        <color theme="0"/>
      </font>
      <fill>
        <patternFill>
          <bgColor theme="0"/>
        </patternFill>
      </fill>
    </dxf>
    <dxf>
      <font>
        <color theme="0"/>
      </font>
      <fill>
        <patternFill>
          <bgColor theme="0"/>
        </patternFill>
      </fill>
    </dxf>
    <dxf>
      <fill>
        <patternFill>
          <bgColor rgb="FFFFFF00"/>
        </patternFill>
      </fill>
      <border>
        <left style="thin">
          <color theme="1"/>
        </left>
        <right style="thin">
          <color theme="1"/>
        </right>
        <top style="thin">
          <color theme="1"/>
        </top>
        <bottom style="thin">
          <color theme="1"/>
        </bottom>
        <vertical/>
        <horizontal/>
      </border>
    </dxf>
    <dxf>
      <font>
        <color theme="1"/>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color theme="0"/>
      </font>
      <fill>
        <patternFill>
          <bgColor theme="0"/>
        </patternFill>
      </fill>
    </dxf>
    <dxf>
      <font>
        <color rgb="FFC00000"/>
      </font>
      <fill>
        <patternFill>
          <bgColor theme="0"/>
        </patternFill>
      </fill>
    </dxf>
    <dxf>
      <font>
        <color theme="0" tint="-0.34998626667073579"/>
      </font>
      <fill>
        <patternFill>
          <bgColor theme="0"/>
        </patternFill>
      </fill>
    </dxf>
    <dxf>
      <font>
        <color rgb="FFC00000"/>
      </font>
    </dxf>
    <dxf>
      <font>
        <color theme="1"/>
      </font>
    </dxf>
    <dxf>
      <font>
        <color theme="0"/>
      </font>
    </dxf>
    <dxf>
      <font>
        <color theme="0"/>
      </font>
      <fill>
        <patternFill>
          <bgColor theme="0"/>
        </patternFill>
      </fill>
      <border>
        <left/>
        <right/>
        <top/>
        <bottom/>
        <vertical/>
        <horizontal/>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vertical/>
        <horizontal/>
      </border>
    </dxf>
    <dxf>
      <font>
        <color rgb="FFC00000"/>
      </font>
      <fill>
        <patternFill>
          <bgColor rgb="FFFFFF00"/>
        </patternFill>
      </fill>
    </dxf>
    <dxf>
      <fill>
        <patternFill>
          <bgColor theme="0" tint="-4.9989318521683403E-2"/>
        </patternFill>
      </fill>
    </dxf>
    <dxf>
      <font>
        <color theme="0"/>
      </font>
      <fill>
        <patternFill>
          <bgColor theme="0"/>
        </patternFill>
      </fill>
      <border>
        <left/>
        <right/>
        <top/>
        <bottom/>
      </border>
    </dxf>
    <dxf>
      <font>
        <color theme="0"/>
      </font>
      <fill>
        <patternFill>
          <bgColor rgb="FFFF0000"/>
        </patternFill>
      </fill>
    </dxf>
    <dxf>
      <font>
        <color rgb="FFC00000"/>
      </font>
      <fill>
        <patternFill>
          <bgColor rgb="FFFFFF00"/>
        </patternFill>
      </fill>
    </dxf>
    <dxf>
      <font>
        <color rgb="FFC00000"/>
      </font>
      <fill>
        <patternFill>
          <bgColor rgb="FFFFFF00"/>
        </patternFill>
      </fill>
    </dxf>
    <dxf>
      <fill>
        <patternFill>
          <bgColor theme="0" tint="-4.9989318521683403E-2"/>
        </patternFill>
      </fill>
    </dxf>
    <dxf>
      <fill>
        <patternFill>
          <bgColor theme="5" tint="0.79998168889431442"/>
        </patternFill>
      </fill>
    </dxf>
    <dxf>
      <fill>
        <patternFill>
          <bgColor theme="5" tint="0.59996337778862885"/>
        </patternFill>
      </fill>
    </dxf>
    <dxf>
      <fill>
        <patternFill>
          <bgColor theme="1" tint="0.24994659260841701"/>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1" tint="0.24994659260841701"/>
        </patternFill>
      </fill>
    </dxf>
    <dxf>
      <fill>
        <patternFill>
          <bgColor theme="1"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theme="0"/>
        </patternFill>
      </fill>
      <border>
        <left/>
        <right/>
        <top/>
        <bottom/>
      </border>
    </dxf>
    <dxf>
      <fill>
        <patternFill>
          <bgColor theme="1" tint="0.24994659260841701"/>
        </patternFill>
      </fill>
    </dxf>
    <dxf>
      <fill>
        <patternFill>
          <bgColor rgb="FFFF0000"/>
        </patternFill>
      </fill>
    </dxf>
    <dxf>
      <fill>
        <patternFill>
          <bgColor rgb="FFFF0000"/>
        </patternFill>
      </fill>
    </dxf>
    <dxf>
      <fill>
        <patternFill>
          <bgColor theme="1"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24994659260841701"/>
        </patternFill>
      </fill>
    </dxf>
    <dxf>
      <fill>
        <patternFill>
          <bgColor theme="5" tint="0.79998168889431442"/>
        </patternFill>
      </fill>
    </dxf>
    <dxf>
      <fill>
        <patternFill>
          <bgColor theme="1"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24994659260841701"/>
        </patternFill>
      </fill>
    </dxf>
    <dxf>
      <fill>
        <patternFill>
          <bgColor theme="5" tint="0.79998168889431442"/>
        </patternFill>
      </fill>
    </dxf>
    <dxf>
      <fill>
        <patternFill>
          <bgColor theme="1" tint="0.2499465926084170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24994659260841701"/>
        </patternFill>
      </fill>
    </dxf>
    <dxf>
      <font>
        <color theme="1" tint="0.24994659260841701"/>
      </font>
      <fill>
        <patternFill>
          <bgColor theme="0"/>
        </patternFill>
      </fill>
    </dxf>
    <dxf>
      <fill>
        <patternFill>
          <bgColor theme="1" tint="0.34998626667073579"/>
        </patternFill>
      </fill>
    </dxf>
    <dxf>
      <font>
        <color theme="1" tint="0.34998626667073579"/>
      </font>
      <fill>
        <patternFill>
          <bgColor theme="1" tint="0.34998626667073579"/>
        </patternFill>
      </fill>
    </dxf>
    <dxf>
      <fill>
        <patternFill>
          <bgColor rgb="FFFFFF00"/>
        </patternFill>
      </fill>
      <border>
        <left style="thin">
          <color rgb="FFFF0000"/>
        </left>
        <right style="thin">
          <color rgb="FFFF0000"/>
        </right>
        <top style="thin">
          <color rgb="FFFF0000"/>
        </top>
        <bottom style="thin">
          <color rgb="FFFF0000"/>
        </bottom>
      </border>
    </dxf>
    <dxf>
      <fill>
        <patternFill>
          <bgColor theme="5" tint="0.79998168889431442"/>
        </patternFill>
      </fill>
    </dxf>
    <dxf>
      <fill>
        <patternFill>
          <bgColor theme="1" tint="0.24994659260841701"/>
        </patternFill>
      </fill>
    </dxf>
    <dxf>
      <font>
        <color theme="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24994659260841701"/>
        </patternFill>
      </fill>
    </dxf>
    <dxf>
      <fill>
        <patternFill>
          <bgColor rgb="FFFF0000"/>
        </patternFill>
      </fill>
    </dxf>
    <dxf>
      <font>
        <color theme="0"/>
      </font>
      <fill>
        <patternFill>
          <bgColor theme="0"/>
        </patternFill>
      </fill>
      <border>
        <left/>
        <right/>
        <top/>
        <bottom/>
      </border>
    </dxf>
    <dxf>
      <fill>
        <patternFill>
          <bgColor rgb="FFFF0000"/>
        </patternFill>
      </fill>
    </dxf>
    <dxf>
      <font>
        <color theme="0"/>
      </font>
      <fill>
        <patternFill>
          <bgColor theme="0"/>
        </patternFill>
      </fill>
      <border>
        <left/>
        <right/>
        <top/>
        <bottom/>
      </border>
    </dxf>
    <dxf>
      <fill>
        <patternFill>
          <bgColor rgb="FFFF0000"/>
        </patternFill>
      </fill>
    </dxf>
    <dxf>
      <font>
        <color theme="0"/>
      </font>
      <fill>
        <patternFill>
          <bgColor theme="0"/>
        </patternFill>
      </fill>
      <border>
        <left/>
        <right/>
        <top/>
        <bottom/>
      </border>
    </dxf>
    <dxf>
      <fill>
        <patternFill>
          <bgColor rgb="FFFF0000"/>
        </patternFill>
      </fill>
    </dxf>
    <dxf>
      <font>
        <color theme="0"/>
      </font>
      <fill>
        <patternFill>
          <bgColor theme="0"/>
        </patternFill>
      </fill>
      <border>
        <left/>
        <right/>
        <top/>
        <bottom/>
      </border>
    </dxf>
    <dxf>
      <fill>
        <patternFill>
          <bgColor rgb="FFFF0000"/>
        </patternFill>
      </fill>
    </dxf>
    <dxf>
      <font>
        <color theme="0"/>
      </font>
      <fill>
        <patternFill>
          <bgColor theme="0"/>
        </patternFill>
      </fill>
      <border>
        <left/>
        <right/>
        <top/>
        <bottom/>
      </border>
    </dxf>
    <dxf>
      <fill>
        <patternFill>
          <bgColor rgb="FFC00000"/>
        </patternFill>
      </fill>
    </dxf>
    <dxf>
      <font>
        <color rgb="FFFFFF00"/>
      </font>
      <fill>
        <patternFill>
          <bgColor theme="4" tint="-0.499984740745262"/>
        </patternFill>
      </fill>
    </dxf>
    <dxf>
      <font>
        <b/>
        <i val="0"/>
        <color theme="6" tint="-0.24994659260841701"/>
      </font>
    </dxf>
    <dxf>
      <fill>
        <patternFill>
          <bgColor rgb="FFFF0000"/>
        </patternFill>
      </fill>
    </dxf>
    <dxf>
      <fill>
        <patternFill>
          <bgColor theme="0"/>
        </patternFill>
      </fill>
    </dxf>
    <dxf>
      <fill>
        <patternFill>
          <bgColor theme="0" tint="-0.14996795556505021"/>
        </patternFill>
      </fill>
    </dxf>
    <dxf>
      <font>
        <color rgb="FFC00000"/>
      </font>
      <fill>
        <patternFill>
          <bgColor rgb="FFFFFF00"/>
        </patternFill>
      </fill>
    </dxf>
    <dxf>
      <font>
        <color rgb="FFC00000"/>
      </font>
    </dxf>
    <dxf>
      <font>
        <color rgb="FFC00000"/>
      </font>
      <fill>
        <patternFill>
          <bgColor theme="0"/>
        </patternFill>
      </fill>
    </dxf>
    <dxf>
      <font>
        <color rgb="FFC00000"/>
      </font>
      <fill>
        <patternFill patternType="none">
          <bgColor auto="1"/>
        </patternFill>
      </fill>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rgb="FFC00000"/>
      </font>
      <fill>
        <patternFill patternType="none">
          <bgColor auto="1"/>
        </patternFill>
      </fill>
    </dxf>
    <dxf>
      <font>
        <color rgb="FFC00000"/>
      </font>
      <fill>
        <patternFill patternType="none">
          <bgColor auto="1"/>
        </patternFill>
      </fill>
    </dxf>
    <dxf>
      <font>
        <color theme="0"/>
      </font>
    </dxf>
    <dxf>
      <fill>
        <patternFill>
          <bgColor theme="5" tint="0.79998168889431442"/>
        </patternFill>
      </fill>
    </dxf>
    <dxf>
      <font>
        <color rgb="FFC00000"/>
      </font>
      <fill>
        <patternFill patternType="none">
          <bgColor auto="1"/>
        </patternFill>
      </fill>
    </dxf>
    <dxf>
      <fill>
        <patternFill>
          <bgColor rgb="FFFF0000"/>
        </patternFill>
      </fill>
    </dxf>
    <dxf>
      <font>
        <color theme="0"/>
      </font>
      <fill>
        <patternFill>
          <bgColor rgb="FFC00000"/>
        </patternFill>
      </fill>
    </dxf>
    <dxf>
      <font>
        <color theme="0"/>
      </font>
      <fill>
        <patternFill>
          <bgColor rgb="FFC00000"/>
        </patternFill>
      </fill>
    </dxf>
    <dxf>
      <fill>
        <patternFill>
          <bgColor rgb="FFC00000"/>
        </patternFill>
      </fill>
    </dxf>
    <dxf>
      <font>
        <b/>
        <i val="0"/>
        <color rgb="FFC00000"/>
      </font>
    </dxf>
    <dxf>
      <font>
        <color theme="0"/>
      </font>
    </dxf>
    <dxf>
      <font>
        <b/>
        <i val="0"/>
        <color rgb="FFC00000"/>
      </font>
    </dxf>
    <dxf>
      <font>
        <color theme="0"/>
      </font>
    </dxf>
    <dxf>
      <font>
        <b/>
        <i val="0"/>
        <color rgb="FFC00000"/>
      </font>
    </dxf>
    <dxf>
      <font>
        <color theme="0"/>
      </font>
    </dxf>
    <dxf>
      <fill>
        <patternFill>
          <bgColor theme="0" tint="-0.14996795556505021"/>
        </patternFill>
      </fill>
    </dxf>
    <dxf>
      <fill>
        <patternFill>
          <bgColor rgb="FFFF0000"/>
        </patternFill>
      </fill>
    </dxf>
    <dxf>
      <fill>
        <patternFill>
          <bgColor theme="4" tint="0.79998168889431442"/>
        </patternFill>
      </fill>
    </dxf>
    <dxf>
      <fill>
        <patternFill>
          <bgColor theme="4" tint="0.79998168889431442"/>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rgb="FFC00000"/>
      </font>
      <fill>
        <patternFill>
          <bgColor theme="0" tint="-0.34998626667073579"/>
        </patternFill>
      </fill>
    </dxf>
    <dxf>
      <font>
        <color theme="1"/>
      </font>
      <fill>
        <patternFill>
          <bgColor rgb="FFFFFF00"/>
        </patternFill>
      </fill>
    </dxf>
    <dxf>
      <font>
        <color rgb="FF0070C0"/>
      </font>
    </dxf>
    <dxf>
      <font>
        <color rgb="FF0070C0"/>
      </font>
    </dxf>
    <dxf>
      <font>
        <color rgb="FF0070C0"/>
      </font>
    </dxf>
    <dxf>
      <font>
        <color rgb="FF0070C0"/>
      </font>
    </dxf>
    <dxf>
      <fill>
        <patternFill>
          <bgColor theme="0" tint="-0.14996795556505021"/>
        </patternFill>
      </fill>
    </dxf>
    <dxf>
      <font>
        <color theme="0"/>
      </font>
      <fill>
        <patternFill>
          <bgColor theme="0"/>
        </patternFill>
      </fill>
    </dxf>
    <dxf>
      <font>
        <color theme="0"/>
      </font>
      <fill>
        <patternFill>
          <bgColor theme="0"/>
        </patternFill>
      </fill>
    </dxf>
    <dxf>
      <fill>
        <patternFill>
          <bgColor rgb="FFC00000"/>
        </patternFill>
      </fill>
    </dxf>
    <dxf>
      <font>
        <color theme="0"/>
      </font>
      <fill>
        <patternFill>
          <bgColor theme="0"/>
        </patternFill>
      </fill>
      <border>
        <left/>
        <right/>
        <top/>
        <bottom/>
      </border>
    </dxf>
    <dxf>
      <font>
        <color theme="1"/>
      </font>
      <fill>
        <patternFill>
          <bgColor theme="0"/>
        </patternFill>
      </fill>
    </dxf>
    <dxf>
      <font>
        <color theme="0"/>
      </font>
      <fill>
        <patternFill>
          <bgColor theme="0"/>
        </patternFill>
      </fill>
      <border>
        <left/>
        <right/>
        <top/>
        <bottom/>
      </border>
    </dxf>
    <dxf>
      <font>
        <color theme="1"/>
      </font>
      <fill>
        <patternFill>
          <bgColor theme="0"/>
        </patternFill>
      </fill>
    </dxf>
    <dxf>
      <border>
        <left style="thin">
          <color theme="0" tint="-0.14996795556505021"/>
        </left>
        <right style="thin">
          <color theme="0" tint="-0.14996795556505021"/>
        </right>
        <top style="thin">
          <color theme="0" tint="-0.14996795556505021"/>
        </top>
        <bottom style="thin">
          <color theme="0" tint="-0.14996795556505021"/>
        </bottom>
        <vertical/>
        <horizontal/>
      </border>
    </dxf>
    <dxf>
      <font>
        <color rgb="FF0070C0"/>
      </font>
    </dxf>
    <dxf>
      <font>
        <color theme="0"/>
      </font>
      <fill>
        <patternFill>
          <bgColor theme="0"/>
        </patternFill>
      </fill>
    </dxf>
    <dxf>
      <font>
        <color theme="0"/>
      </font>
      <fill>
        <patternFill>
          <bgColor theme="0"/>
        </patternFill>
      </fill>
    </dxf>
    <dxf>
      <border>
        <left style="hair">
          <color auto="1"/>
        </left>
        <right style="thin">
          <color theme="0" tint="-0.499984740745262"/>
        </right>
        <top style="hair">
          <color auto="1"/>
        </top>
        <bottom style="hair">
          <color auto="1"/>
        </bottom>
        <vertical/>
        <horizontal/>
      </border>
    </dxf>
    <dxf>
      <fill>
        <patternFill>
          <bgColor rgb="FFFF0000"/>
        </patternFill>
      </fill>
    </dxf>
    <dxf>
      <fill>
        <patternFill>
          <bgColor theme="0" tint="-0.499984740745262"/>
        </patternFill>
      </fill>
    </dxf>
    <dxf>
      <fill>
        <patternFill>
          <bgColor theme="0"/>
        </patternFill>
      </fill>
    </dxf>
    <dxf>
      <font>
        <color theme="1"/>
      </font>
      <fill>
        <patternFill>
          <bgColor theme="0" tint="-0.14996795556505021"/>
        </patternFill>
      </fill>
      <border>
        <left style="hair">
          <color auto="1"/>
        </left>
        <right style="thin">
          <color auto="1"/>
        </right>
        <top style="hair">
          <color auto="1"/>
        </top>
        <bottom style="hair">
          <color auto="1"/>
        </bottom>
      </border>
    </dxf>
    <dxf>
      <font>
        <color theme="0"/>
      </font>
      <fill>
        <patternFill>
          <bgColor theme="0"/>
        </patternFill>
      </fill>
      <border>
        <left style="thin">
          <color theme="0"/>
        </left>
        <right style="thin">
          <color theme="0"/>
        </right>
        <top style="thin">
          <color auto="1"/>
        </top>
        <bottom style="thin">
          <color theme="0"/>
        </bottom>
        <vertical/>
        <horizontal/>
      </border>
    </dxf>
    <dxf>
      <fill>
        <patternFill>
          <bgColor rgb="FFFF0000"/>
        </patternFill>
      </fill>
    </dxf>
    <dxf>
      <font>
        <color theme="0"/>
      </font>
      <fill>
        <patternFill>
          <bgColor theme="0"/>
        </patternFill>
      </fill>
      <border>
        <left/>
        <right/>
        <top style="thin">
          <color auto="1"/>
        </top>
        <bottom/>
        <vertical/>
        <horizontal/>
      </border>
    </dxf>
    <dxf>
      <fill>
        <patternFill>
          <bgColor rgb="FFFF0000"/>
        </patternFill>
      </fill>
    </dxf>
    <dxf>
      <border>
        <left style="hair">
          <color auto="1"/>
        </left>
        <right style="thin">
          <color auto="1"/>
        </right>
        <top style="hair">
          <color auto="1"/>
        </top>
        <bottom style="hair">
          <color auto="1"/>
        </bottom>
        <vertical/>
        <horizontal/>
      </border>
    </dxf>
    <dxf>
      <fill>
        <patternFill>
          <bgColor theme="0" tint="-0.14996795556505021"/>
        </patternFill>
      </fill>
      <border>
        <left style="hair">
          <color auto="1"/>
        </left>
        <right style="thin">
          <color auto="1"/>
        </right>
        <top style="hair">
          <color auto="1"/>
        </top>
        <bottom style="hair">
          <color auto="1"/>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0"/>
        </patternFill>
      </fill>
      <border>
        <right style="thin">
          <color auto="1"/>
        </right>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0070C0"/>
      </font>
      <fill>
        <patternFill>
          <bgColor rgb="FFFFFFCC"/>
        </patternFill>
      </fill>
    </dxf>
    <dxf>
      <fill>
        <patternFill>
          <bgColor rgb="FFFF0000"/>
        </patternFill>
      </fill>
    </dxf>
    <dxf>
      <fill>
        <patternFill>
          <bgColor theme="0" tint="-0.34998626667073579"/>
        </patternFill>
      </fill>
    </dxf>
    <dxf>
      <fill>
        <patternFill>
          <bgColor rgb="FFC00000"/>
        </patternFill>
      </fill>
    </dxf>
    <dxf>
      <font>
        <color theme="0"/>
      </font>
      <fill>
        <patternFill>
          <bgColor rgb="FFC00000"/>
        </patternFill>
      </fill>
    </dxf>
    <dxf>
      <font>
        <color theme="0"/>
      </font>
      <fill>
        <patternFill>
          <bgColor rgb="FFC00000"/>
        </patternFill>
      </fill>
    </dxf>
    <dxf>
      <fill>
        <patternFill>
          <bgColor rgb="FFFF0000"/>
        </patternFill>
      </fill>
    </dxf>
    <dxf>
      <border>
        <left style="hair">
          <color auto="1"/>
        </left>
        <right style="thin">
          <color auto="1"/>
        </right>
        <top style="hair">
          <color auto="1"/>
        </top>
        <bottom style="hair">
          <color auto="1"/>
        </bottom>
        <vertical/>
        <horizontal/>
      </border>
    </dxf>
    <dxf>
      <fill>
        <patternFill>
          <bgColor rgb="FFFF0000"/>
        </patternFill>
      </fill>
    </dxf>
    <dxf>
      <border>
        <left style="hair">
          <color auto="1"/>
        </left>
        <right style="thin">
          <color auto="1"/>
        </right>
        <top style="hair">
          <color auto="1"/>
        </top>
        <bottom style="hair">
          <color auto="1"/>
        </bottom>
        <vertical/>
        <horizontal/>
      </border>
    </dxf>
    <dxf>
      <border>
        <left style="hair">
          <color theme="1" tint="0.34998626667073579"/>
        </left>
        <right style="thin">
          <color theme="1" tint="0.34998626667073579"/>
        </right>
        <top style="hair">
          <color theme="1" tint="0.34998626667073579"/>
        </top>
        <bottom style="hair">
          <color theme="1" tint="0.34998626667073579"/>
        </bottom>
        <vertical/>
        <horizontal/>
      </border>
    </dxf>
    <dxf>
      <border>
        <left style="hair">
          <color theme="1" tint="0.34998626667073579"/>
        </left>
        <right style="thin">
          <color theme="1" tint="0.34998626667073579"/>
        </right>
        <top style="hair">
          <color theme="1" tint="0.34998626667073579"/>
        </top>
        <bottom style="hair">
          <color theme="1" tint="0.34998626667073579"/>
        </bottom>
        <vertical/>
        <horizontal/>
      </border>
    </dxf>
    <dxf>
      <fill>
        <patternFill>
          <bgColor theme="6" tint="-0.24994659260841701"/>
        </patternFill>
      </fill>
    </dxf>
    <dxf>
      <fill>
        <patternFill>
          <bgColor rgb="FFC00000"/>
        </patternFill>
      </fill>
      <border>
        <left style="thin">
          <color auto="1"/>
        </left>
        <right style="thin">
          <color auto="1"/>
        </right>
        <top style="thin">
          <color auto="1"/>
        </top>
        <bottom style="thin">
          <color auto="1"/>
        </bottom>
      </border>
    </dxf>
    <dxf>
      <fill>
        <patternFill>
          <bgColor theme="0" tint="-0.34998626667073579"/>
        </patternFill>
      </fill>
      <border>
        <left style="thin">
          <color auto="1"/>
        </left>
        <right style="thin">
          <color auto="1"/>
        </right>
        <top style="thin">
          <color auto="1"/>
        </top>
        <bottom style="thin">
          <color auto="1"/>
        </bottom>
      </border>
    </dxf>
    <dxf>
      <fill>
        <patternFill>
          <bgColor theme="0" tint="-0.14996795556505021"/>
        </patternFill>
      </fill>
      <border>
        <left style="hair">
          <color auto="1"/>
        </left>
        <right style="thin">
          <color auto="1"/>
        </right>
        <top style="hair">
          <color auto="1"/>
        </top>
        <bottom style="hair">
          <color auto="1"/>
        </bottom>
      </border>
    </dxf>
    <dxf>
      <font>
        <color theme="0"/>
      </font>
    </dxf>
    <dxf>
      <font>
        <color rgb="FFC00000"/>
      </font>
    </dxf>
    <dxf>
      <font>
        <color theme="0"/>
      </font>
    </dxf>
    <dxf>
      <font>
        <color rgb="FFC00000"/>
      </font>
    </dxf>
    <dxf>
      <fill>
        <patternFill>
          <bgColor rgb="FFFF0000"/>
        </patternFill>
      </fill>
    </dxf>
    <dxf>
      <fill>
        <patternFill>
          <bgColor rgb="FFFF0000"/>
        </patternFill>
      </fill>
    </dxf>
    <dxf>
      <fill>
        <patternFill>
          <bgColor rgb="FFFF0000"/>
        </patternFill>
      </fill>
    </dxf>
    <dxf>
      <fill>
        <patternFill>
          <bgColor theme="0" tint="-0.14996795556505021"/>
        </patternFill>
      </fill>
      <border>
        <left style="hair">
          <color theme="1" tint="0.34998626667073579"/>
        </left>
        <right style="thin">
          <color theme="1" tint="0.34998626667073579"/>
        </right>
        <top style="hair">
          <color theme="1" tint="0.34998626667073579"/>
        </top>
        <bottom style="hair">
          <color theme="1" tint="0.34998626667073579"/>
        </bottom>
      </border>
    </dxf>
    <dxf>
      <fill>
        <patternFill>
          <bgColor rgb="FFC00000"/>
        </patternFill>
      </fill>
      <border>
        <left style="thin">
          <color auto="1"/>
        </left>
        <right style="thin">
          <color auto="1"/>
        </right>
        <top style="thin">
          <color auto="1"/>
        </top>
        <bottom style="thin">
          <color auto="1"/>
        </bottom>
      </border>
    </dxf>
    <dxf>
      <fill>
        <patternFill>
          <bgColor theme="0" tint="-0.34998626667073579"/>
        </patternFill>
      </fill>
      <border>
        <left style="thin">
          <color auto="1"/>
        </left>
        <right style="thin">
          <color auto="1"/>
        </right>
        <top style="thin">
          <color auto="1"/>
        </top>
        <bottom style="thin">
          <color auto="1"/>
        </bottom>
      </border>
    </dxf>
    <dxf>
      <fill>
        <patternFill>
          <bgColor rgb="FFFF0000"/>
        </patternFill>
      </fill>
    </dxf>
  </dxfs>
  <tableStyles count="0" defaultTableStyle="TableStyleMedium2" defaultPivotStyle="PivotStyleMedium9"/>
  <colors>
    <mruColors>
      <color rgb="FFFFFFCC"/>
      <color rgb="FFFFFF99"/>
      <color rgb="FFFFE9A3"/>
      <color rgb="FFFFDF79"/>
      <color rgb="FF00B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5.jpg"/><Relationship Id="rId3" Type="http://schemas.openxmlformats.org/officeDocument/2006/relationships/hyperlink" Target="https://www.operational-services.de/en/supplier-solutions" TargetMode="External"/><Relationship Id="rId7" Type="http://schemas.openxmlformats.org/officeDocument/2006/relationships/hyperlink" Target="https://www.operational-services.de/en/supplier-solutions/csn/download-center/" TargetMode="External"/><Relationship Id="rId2" Type="http://schemas.openxmlformats.org/officeDocument/2006/relationships/hyperlink" Target="#'company data'!B4"/><Relationship Id="rId1" Type="http://schemas.openxmlformats.org/officeDocument/2006/relationships/image" Target="../media/image1.jpg"/><Relationship Id="rId6" Type="http://schemas.openxmlformats.org/officeDocument/2006/relationships/image" Target="../media/image4.jpg"/><Relationship Id="rId5" Type="http://schemas.openxmlformats.org/officeDocument/2006/relationships/image" Target="../media/image3.png"/><Relationship Id="rId4" Type="http://schemas.openxmlformats.org/officeDocument/2006/relationships/image" Target="../media/image2.png"/><Relationship Id="rId9" Type="http://schemas.openxmlformats.org/officeDocument/2006/relationships/hyperlink" Target="https://portal.enx.com/en-us/TISAX/" TargetMode="External"/></Relationships>
</file>

<file path=xl/drawings/_rels/drawing10.xml.rels><?xml version="1.0" encoding="UTF-8" standalone="yes"?>
<Relationships xmlns="http://schemas.openxmlformats.org/package/2006/relationships"><Relationship Id="rId8" Type="http://schemas.openxmlformats.org/officeDocument/2006/relationships/hyperlink" Target="https://www.operational-services.de/en/supplier-solutions/information-security-tisax/" TargetMode="External"/><Relationship Id="rId13" Type="http://schemas.openxmlformats.org/officeDocument/2006/relationships/hyperlink" Target="https://portal.enx.com/en-us/TISAX/" TargetMode="External"/><Relationship Id="rId3" Type="http://schemas.openxmlformats.org/officeDocument/2006/relationships/hyperlink" Target="#'status of TISAX assessment'!C6"/><Relationship Id="rId7" Type="http://schemas.openxmlformats.org/officeDocument/2006/relationships/hyperlink" Target="https://www.operational-services.de/de/supplier-solutions/informationssicherheit/" TargetMode="External"/><Relationship Id="rId12" Type="http://schemas.openxmlformats.org/officeDocument/2006/relationships/hyperlink" Target="https://portal.enx.com/tphen.pdf" TargetMode="External"/><Relationship Id="rId2" Type="http://schemas.openxmlformats.org/officeDocument/2006/relationships/image" Target="../media/image14.svg"/><Relationship Id="rId1" Type="http://schemas.openxmlformats.org/officeDocument/2006/relationships/image" Target="../media/image13.png"/><Relationship Id="rId6" Type="http://schemas.openxmlformats.org/officeDocument/2006/relationships/hyperlink" Target="#Unternehmensdaten!B4"/><Relationship Id="rId11" Type="http://schemas.openxmlformats.org/officeDocument/2006/relationships/hyperlink" Target="https://portal.enx.com/en-US/TISAX/downloads/" TargetMode="External"/><Relationship Id="rId5" Type="http://schemas.openxmlformats.org/officeDocument/2006/relationships/hyperlink" Target="#'TISAX Status'!B6"/><Relationship Id="rId15" Type="http://schemas.openxmlformats.org/officeDocument/2006/relationships/image" Target="../media/image19.jpeg"/><Relationship Id="rId10" Type="http://schemas.openxmlformats.org/officeDocument/2006/relationships/hyperlink" Target="https://portal.enx.com/de-DE/TISAX/downloads/" TargetMode="External"/><Relationship Id="rId4" Type="http://schemas.openxmlformats.org/officeDocument/2006/relationships/hyperlink" Target="#Zusammenfassung!B1"/><Relationship Id="rId9" Type="http://schemas.openxmlformats.org/officeDocument/2006/relationships/image" Target="../media/image5.jpg"/><Relationship Id="rId14" Type="http://schemas.openxmlformats.org/officeDocument/2006/relationships/image" Target="../media/image18.jpeg"/></Relationships>
</file>

<file path=xl/drawings/_rels/drawing11.xml.rels><?xml version="1.0" encoding="UTF-8" standalone="yes"?>
<Relationships xmlns="http://schemas.openxmlformats.org/package/2006/relationships"><Relationship Id="rId8" Type="http://schemas.openxmlformats.org/officeDocument/2006/relationships/hyperlink" Target="#kopf_ansprechpartner_unternehmen"/><Relationship Id="rId13" Type="http://schemas.openxmlformats.org/officeDocument/2006/relationships/hyperlink" Target="https://www.operational-services.de/en/supplier-solutions/news/details/typ/neuigkeit/eintrag/project-specific-additions-on-data-protection-in-the-csn-project" TargetMode="External"/><Relationship Id="rId3" Type="http://schemas.openxmlformats.org/officeDocument/2006/relationships/hyperlink" Target="#applications!C6"/><Relationship Id="rId7" Type="http://schemas.openxmlformats.org/officeDocument/2006/relationships/hyperlink" Target="#kopf_vertragsdaten"/><Relationship Id="rId12" Type="http://schemas.openxmlformats.org/officeDocument/2006/relationships/hyperlink" Target="#kopf_zusammenfassung"/><Relationship Id="rId17" Type="http://schemas.openxmlformats.org/officeDocument/2006/relationships/image" Target="../media/image21.png"/><Relationship Id="rId2" Type="http://schemas.openxmlformats.org/officeDocument/2006/relationships/hyperlink" Target="#'contact persons'!A5"/><Relationship Id="rId16" Type="http://schemas.openxmlformats.org/officeDocument/2006/relationships/hyperlink" Target="#'add on data access locations'!B6"/><Relationship Id="rId1" Type="http://schemas.openxmlformats.org/officeDocument/2006/relationships/hyperlink" Target="#'company data'!A4"/><Relationship Id="rId6" Type="http://schemas.openxmlformats.org/officeDocument/2006/relationships/image" Target="../media/image20.tif"/><Relationship Id="rId11" Type="http://schemas.openxmlformats.org/officeDocument/2006/relationships/hyperlink" Target="#kopf_vertragsvorschau"/><Relationship Id="rId5" Type="http://schemas.openxmlformats.org/officeDocument/2006/relationships/hyperlink" Target="https://www.operational-services.de/de/" TargetMode="External"/><Relationship Id="rId15" Type="http://schemas.openxmlformats.org/officeDocument/2006/relationships/hyperlink" Target="#'status of TISAX assessment'!C6"/><Relationship Id="rId10" Type="http://schemas.openxmlformats.org/officeDocument/2006/relationships/hyperlink" Target="#kopf_konzernansprechpartner"/><Relationship Id="rId4" Type="http://schemas.openxmlformats.org/officeDocument/2006/relationships/hyperlink" Target="#'contact persons VW Group'!B5"/><Relationship Id="rId9" Type="http://schemas.openxmlformats.org/officeDocument/2006/relationships/hyperlink" Target="#kopf_konzernapplikationen"/><Relationship Id="rId14" Type="http://schemas.openxmlformats.org/officeDocument/2006/relationships/hyperlink" Target="#summary!B221"/></Relationships>
</file>

<file path=xl/drawings/_rels/drawing12.xml.rels><?xml version="1.0" encoding="UTF-8" standalone="yes"?>
<Relationships xmlns="http://schemas.openxmlformats.org/package/2006/relationships"><Relationship Id="rId2" Type="http://schemas.openxmlformats.org/officeDocument/2006/relationships/hyperlink" Target="#'Konzern-Applikationen'!C6"/><Relationship Id="rId1" Type="http://schemas.openxmlformats.org/officeDocument/2006/relationships/hyperlink" Target="#Unternehmensdaten!A1"/></Relationships>
</file>

<file path=xl/drawings/_rels/drawing13.xml.rels><?xml version="1.0" encoding="UTF-8" standalone="yes"?>
<Relationships xmlns="http://schemas.openxmlformats.org/package/2006/relationships"><Relationship Id="rId3" Type="http://schemas.openxmlformats.org/officeDocument/2006/relationships/hyperlink" Target="#Ansprechpartner!A5"/><Relationship Id="rId2" Type="http://schemas.openxmlformats.org/officeDocument/2006/relationships/image" Target="../media/image22.emf"/><Relationship Id="rId1" Type="http://schemas.openxmlformats.org/officeDocument/2006/relationships/hyperlink" Target="http://www.upik.de" TargetMode="External"/><Relationship Id="rId4" Type="http://schemas.openxmlformats.org/officeDocument/2006/relationships/hyperlink" Target="#start!A1"/></Relationships>
</file>

<file path=xl/drawings/_rels/drawing2.xml.rels><?xml version="1.0" encoding="UTF-8" standalone="yes"?>
<Relationships xmlns="http://schemas.openxmlformats.org/package/2006/relationships"><Relationship Id="rId3" Type="http://schemas.openxmlformats.org/officeDocument/2006/relationships/hyperlink" Target="#'status of TISAX assessment'!C6"/><Relationship Id="rId7" Type="http://schemas.openxmlformats.org/officeDocument/2006/relationships/image" Target="../media/image7.png"/><Relationship Id="rId2" Type="http://schemas.openxmlformats.org/officeDocument/2006/relationships/hyperlink" Target="#'contact persons'!A5"/><Relationship Id="rId1" Type="http://schemas.openxmlformats.org/officeDocument/2006/relationships/hyperlink" Target="#start!A2"/><Relationship Id="rId6" Type="http://schemas.openxmlformats.org/officeDocument/2006/relationships/image" Target="../media/image6.jpeg"/><Relationship Id="rId5" Type="http://schemas.openxmlformats.org/officeDocument/2006/relationships/hyperlink" Target="https://www.bisnode.de/upik-en/" TargetMode="External"/><Relationship Id="rId4" Type="http://schemas.openxmlformats.org/officeDocument/2006/relationships/hyperlink" Target="#'add on data access locations'!B6"/></Relationships>
</file>

<file path=xl/drawings/_rels/drawing3.xml.rels><?xml version="1.0" encoding="UTF-8" standalone="yes"?>
<Relationships xmlns="http://schemas.openxmlformats.org/package/2006/relationships"><Relationship Id="rId3" Type="http://schemas.openxmlformats.org/officeDocument/2006/relationships/hyperlink" Target="#applications!C6"/><Relationship Id="rId2" Type="http://schemas.openxmlformats.org/officeDocument/2006/relationships/image" Target="../media/image8.png"/><Relationship Id="rId1" Type="http://schemas.openxmlformats.org/officeDocument/2006/relationships/hyperlink" Target="#'company data'!A4"/></Relationships>
</file>

<file path=xl/drawings/_rels/drawing4.xml.rels><?xml version="1.0" encoding="UTF-8" standalone="yes"?>
<Relationships xmlns="http://schemas.openxmlformats.org/package/2006/relationships"><Relationship Id="rId3" Type="http://schemas.openxmlformats.org/officeDocument/2006/relationships/hyperlink" Target="https://www.operational-services.de/fileadmin/user_upload/Schulungen/Dokumente/CSN/EN/CSN_Initial_Information.pdf" TargetMode="External"/><Relationship Id="rId2" Type="http://schemas.openxmlformats.org/officeDocument/2006/relationships/hyperlink" Target="#'contact persons VW Group'!B5"/><Relationship Id="rId1" Type="http://schemas.openxmlformats.org/officeDocument/2006/relationships/hyperlink" Target="#'contact persons'!A5"/><Relationship Id="rId5" Type="http://schemas.openxmlformats.org/officeDocument/2006/relationships/image" Target="../media/image10.png"/><Relationship Id="rId4"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hyperlink" Target="#'status of TISAX assessment'!C6"/><Relationship Id="rId2" Type="http://schemas.openxmlformats.org/officeDocument/2006/relationships/image" Target="../media/image11.png"/><Relationship Id="rId1" Type="http://schemas.openxmlformats.org/officeDocument/2006/relationships/hyperlink" Target="#applications!A5"/></Relationships>
</file>

<file path=xl/drawings/_rels/drawing6.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hyperlink" Target="#'company data'!B4"/></Relationships>
</file>

<file path=xl/drawings/_rels/drawing7.xml.rels><?xml version="1.0" encoding="UTF-8" standalone="yes"?>
<Relationships xmlns="http://schemas.openxmlformats.org/package/2006/relationships"><Relationship Id="rId8" Type="http://schemas.openxmlformats.org/officeDocument/2006/relationships/image" Target="../media/image16.jpeg"/><Relationship Id="rId3" Type="http://schemas.openxmlformats.org/officeDocument/2006/relationships/image" Target="../media/image14.svg"/><Relationship Id="rId7" Type="http://schemas.openxmlformats.org/officeDocument/2006/relationships/hyperlink" Target="#'TISAX Informationen'!B84"/><Relationship Id="rId2" Type="http://schemas.openxmlformats.org/officeDocument/2006/relationships/image" Target="../media/image13.png"/><Relationship Id="rId1" Type="http://schemas.openxmlformats.org/officeDocument/2006/relationships/hyperlink" Target="#'company data'!A4"/><Relationship Id="rId6" Type="http://schemas.openxmlformats.org/officeDocument/2006/relationships/hyperlink" Target="#'TISAX Informationen'!B56"/><Relationship Id="rId11" Type="http://schemas.openxmlformats.org/officeDocument/2006/relationships/hyperlink" Target="#summary!B1"/><Relationship Id="rId5" Type="http://schemas.openxmlformats.org/officeDocument/2006/relationships/hyperlink" Target="#'TISAX information'!B27"/><Relationship Id="rId10" Type="http://schemas.openxmlformats.org/officeDocument/2006/relationships/image" Target="../media/image17.png"/><Relationship Id="rId4" Type="http://schemas.openxmlformats.org/officeDocument/2006/relationships/image" Target="../media/image15.png"/><Relationship Id="rId9" Type="http://schemas.openxmlformats.org/officeDocument/2006/relationships/hyperlink" Target="#'TISAX Informationen'!B2"/></Relationships>
</file>

<file path=xl/drawings/_rels/drawing8.xml.rels><?xml version="1.0" encoding="UTF-8" standalone="yes"?>
<Relationships xmlns="http://schemas.openxmlformats.org/package/2006/relationships"><Relationship Id="rId3" Type="http://schemas.openxmlformats.org/officeDocument/2006/relationships/hyperlink" Target="#Zusammenfassung!A1"/><Relationship Id="rId2" Type="http://schemas.openxmlformats.org/officeDocument/2006/relationships/hyperlink" Target="#'Zusatz Applikation CONNECT'!A1"/><Relationship Id="rId1" Type="http://schemas.openxmlformats.org/officeDocument/2006/relationships/hyperlink" Target="#'Konzern-Applikationen'!A1"/></Relationships>
</file>

<file path=xl/drawings/_rels/drawing9.xml.rels><?xml version="1.0" encoding="UTF-8" standalone="yes"?>
<Relationships xmlns="http://schemas.openxmlformats.org/package/2006/relationships"><Relationship Id="rId2" Type="http://schemas.openxmlformats.org/officeDocument/2006/relationships/hyperlink" Target="#summary!B1"/><Relationship Id="rId1" Type="http://schemas.openxmlformats.org/officeDocument/2006/relationships/hyperlink" Target="#'contact persons VW Group'!B5"/></Relationships>
</file>

<file path=xl/drawings/drawing1.xml><?xml version="1.0" encoding="utf-8"?>
<xdr:wsDr xmlns:xdr="http://schemas.openxmlformats.org/drawingml/2006/spreadsheetDrawing" xmlns:a="http://schemas.openxmlformats.org/drawingml/2006/main">
  <xdr:twoCellAnchor editAs="oneCell">
    <xdr:from>
      <xdr:col>1</xdr:col>
      <xdr:colOff>562879</xdr:colOff>
      <xdr:row>18</xdr:row>
      <xdr:rowOff>146341</xdr:rowOff>
    </xdr:from>
    <xdr:to>
      <xdr:col>3</xdr:col>
      <xdr:colOff>0</xdr:colOff>
      <xdr:row>23</xdr:row>
      <xdr:rowOff>138941</xdr:rowOff>
    </xdr:to>
    <xdr:pic>
      <xdr:nvPicPr>
        <xdr:cNvPr id="9" name="Grafik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6879" y="5703971"/>
          <a:ext cx="795469" cy="596402"/>
        </a:xfrm>
        <a:prstGeom prst="rect">
          <a:avLst/>
        </a:prstGeom>
      </xdr:spPr>
    </xdr:pic>
    <xdr:clientData/>
  </xdr:twoCellAnchor>
  <xdr:twoCellAnchor>
    <xdr:from>
      <xdr:col>7</xdr:col>
      <xdr:colOff>9525</xdr:colOff>
      <xdr:row>1</xdr:row>
      <xdr:rowOff>20816</xdr:rowOff>
    </xdr:from>
    <xdr:to>
      <xdr:col>10</xdr:col>
      <xdr:colOff>700708</xdr:colOff>
      <xdr:row>1</xdr:row>
      <xdr:rowOff>447675</xdr:rowOff>
    </xdr:to>
    <xdr:sp macro="" textlink="">
      <xdr:nvSpPr>
        <xdr:cNvPr id="11" name="Pfeil nach links 10">
          <a:hlinkClick xmlns:r="http://schemas.openxmlformats.org/officeDocument/2006/relationships" r:id="rId2" tooltip="Follow the arrows for filling of the application form"/>
          <a:extLst>
            <a:ext uri="{FF2B5EF4-FFF2-40B4-BE49-F238E27FC236}">
              <a16:creationId xmlns:a16="http://schemas.microsoft.com/office/drawing/2014/main" id="{00000000-0008-0000-0000-00000B000000}"/>
            </a:ext>
          </a:extLst>
        </xdr:cNvPr>
        <xdr:cNvSpPr/>
      </xdr:nvSpPr>
      <xdr:spPr>
        <a:xfrm flipH="1">
          <a:off x="6581775" y="87491"/>
          <a:ext cx="3043858" cy="426859"/>
        </a:xfrm>
        <a:prstGeom prst="left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1">
              <a:solidFill>
                <a:srgbClr val="FFC000"/>
              </a:solidFill>
              <a:latin typeface="Tahoma" panose="020B0604030504040204" pitchFamily="34" charset="0"/>
              <a:ea typeface="Tahoma" panose="020B0604030504040204" pitchFamily="34" charset="0"/>
              <a:cs typeface="Tahoma" panose="020B0604030504040204" pitchFamily="34" charset="0"/>
            </a:rPr>
            <a:t>START FILLING</a:t>
          </a:r>
          <a:r>
            <a:rPr lang="de-DE" sz="1000">
              <a:latin typeface="Tahoma" panose="020B0604030504040204" pitchFamily="34" charset="0"/>
              <a:ea typeface="Tahoma" panose="020B0604030504040204" pitchFamily="34" charset="0"/>
              <a:cs typeface="Tahoma" panose="020B0604030504040204" pitchFamily="34" charset="0"/>
            </a:rPr>
            <a:t>:</a:t>
          </a:r>
          <a:r>
            <a:rPr lang="de-DE" sz="1000" baseline="0">
              <a:latin typeface="Tahoma" panose="020B0604030504040204" pitchFamily="34" charset="0"/>
              <a:ea typeface="Tahoma" panose="020B0604030504040204" pitchFamily="34" charset="0"/>
              <a:cs typeface="Tahoma" panose="020B0604030504040204" pitchFamily="34" charset="0"/>
            </a:rPr>
            <a:t> contract data</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8</xdr:col>
      <xdr:colOff>37685</xdr:colOff>
      <xdr:row>1</xdr:row>
      <xdr:rowOff>385142</xdr:rowOff>
    </xdr:from>
    <xdr:to>
      <xdr:col>10</xdr:col>
      <xdr:colOff>340540</xdr:colOff>
      <xdr:row>5</xdr:row>
      <xdr:rowOff>342900</xdr:rowOff>
    </xdr:to>
    <xdr:pic>
      <xdr:nvPicPr>
        <xdr:cNvPr id="10" name="Grafik 9">
          <a:hlinkClick xmlns:r="http://schemas.openxmlformats.org/officeDocument/2006/relationships" r:id="rId3"/>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438610" y="451817"/>
          <a:ext cx="1826855" cy="472108"/>
        </a:xfrm>
        <a:prstGeom prst="rect">
          <a:avLst/>
        </a:prstGeom>
      </xdr:spPr>
    </xdr:pic>
    <xdr:clientData/>
  </xdr:twoCellAnchor>
  <xdr:twoCellAnchor>
    <xdr:from>
      <xdr:col>0</xdr:col>
      <xdr:colOff>124122</xdr:colOff>
      <xdr:row>6</xdr:row>
      <xdr:rowOff>574174</xdr:rowOff>
    </xdr:from>
    <xdr:to>
      <xdr:col>2</xdr:col>
      <xdr:colOff>294376</xdr:colOff>
      <xdr:row>6</xdr:row>
      <xdr:rowOff>1957352</xdr:rowOff>
    </xdr:to>
    <xdr:grpSp>
      <xdr:nvGrpSpPr>
        <xdr:cNvPr id="29" name="Gruppieren 28">
          <a:extLst>
            <a:ext uri="{FF2B5EF4-FFF2-40B4-BE49-F238E27FC236}">
              <a16:creationId xmlns:a16="http://schemas.microsoft.com/office/drawing/2014/main" id="{00000000-0008-0000-0000-00001D000000}"/>
            </a:ext>
          </a:extLst>
        </xdr:cNvPr>
        <xdr:cNvGrpSpPr/>
      </xdr:nvGrpSpPr>
      <xdr:grpSpPr>
        <a:xfrm rot="21151733">
          <a:off x="124122" y="1860049"/>
          <a:ext cx="2456254" cy="1383178"/>
          <a:chOff x="2980145" y="1261129"/>
          <a:chExt cx="2456254" cy="1312242"/>
        </a:xfrm>
      </xdr:grpSpPr>
      <xdr:pic>
        <xdr:nvPicPr>
          <xdr:cNvPr id="30" name="Grafik 29">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5"/>
          <a:stretch>
            <a:fillRect/>
          </a:stretch>
        </xdr:blipFill>
        <xdr:spPr>
          <a:xfrm rot="21267794">
            <a:off x="3759776" y="1261129"/>
            <a:ext cx="1380953" cy="1312242"/>
          </a:xfrm>
          <a:prstGeom prst="rect">
            <a:avLst/>
          </a:prstGeom>
          <a:ln>
            <a:noFill/>
          </a:ln>
          <a:effectLst>
            <a:outerShdw blurRad="292100" dist="139700" dir="2700000" algn="tl" rotWithShape="0">
              <a:srgbClr val="333333">
                <a:alpha val="65000"/>
              </a:srgbClr>
            </a:outerShdw>
          </a:effectLst>
        </xdr:spPr>
      </xdr:pic>
      <xdr:pic>
        <xdr:nvPicPr>
          <xdr:cNvPr id="31" name="Grafik 30">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rot="20248569">
            <a:off x="4364934" y="1938189"/>
            <a:ext cx="822644" cy="605210"/>
          </a:xfrm>
          <a:prstGeom prst="rect">
            <a:avLst/>
          </a:prstGeom>
          <a:ln>
            <a:noFill/>
          </a:ln>
          <a:effectLst>
            <a:outerShdw blurRad="292100" dist="139700" dir="2700000" algn="tl" rotWithShape="0">
              <a:srgbClr val="333333">
                <a:alpha val="65000"/>
              </a:srgbClr>
            </a:outerShdw>
          </a:effectLst>
        </xdr:spPr>
      </xdr:pic>
      <xdr:sp macro="" textlink="">
        <xdr:nvSpPr>
          <xdr:cNvPr id="32" name="Textfeld 55">
            <a:extLst>
              <a:ext uri="{FF2B5EF4-FFF2-40B4-BE49-F238E27FC236}">
                <a16:creationId xmlns:a16="http://schemas.microsoft.com/office/drawing/2014/main" id="{00000000-0008-0000-0000-000020000000}"/>
              </a:ext>
            </a:extLst>
          </xdr:cNvPr>
          <xdr:cNvSpPr txBox="1"/>
        </xdr:nvSpPr>
        <xdr:spPr bwMode="gray">
          <a:xfrm rot="21267794">
            <a:off x="4462632" y="1271373"/>
            <a:ext cx="973767" cy="378850"/>
          </a:xfrm>
          <a:prstGeom prst="rect">
            <a:avLst/>
          </a:prstGeom>
          <a:noFill/>
        </xdr:spPr>
        <xdr:txBody>
          <a:bodyPr wrap="square" lIns="0" tIns="0" rIns="0" bIns="0"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de-DE" sz="800" b="1">
                <a:latin typeface="Arial" panose="020B0604020202020204" pitchFamily="34" charset="0"/>
                <a:cs typeface="Arial" panose="020B0604020202020204" pitchFamily="34" charset="0"/>
              </a:rPr>
              <a:t>VW Group</a:t>
            </a:r>
          </a:p>
          <a:p>
            <a:pPr algn="ctr"/>
            <a:r>
              <a:rPr lang="de-DE" sz="800" b="1">
                <a:latin typeface="Arial" panose="020B0604020202020204" pitchFamily="34" charset="0"/>
                <a:cs typeface="Arial" panose="020B0604020202020204" pitchFamily="34" charset="0"/>
              </a:rPr>
              <a:t>department</a:t>
            </a:r>
          </a:p>
        </xdr:txBody>
      </xdr:sp>
      <xdr:sp macro="" textlink="">
        <xdr:nvSpPr>
          <xdr:cNvPr id="33" name="Textfeld 54">
            <a:extLst>
              <a:ext uri="{FF2B5EF4-FFF2-40B4-BE49-F238E27FC236}">
                <a16:creationId xmlns:a16="http://schemas.microsoft.com/office/drawing/2014/main" id="{00000000-0008-0000-0000-000021000000}"/>
              </a:ext>
            </a:extLst>
          </xdr:cNvPr>
          <xdr:cNvSpPr txBox="1"/>
        </xdr:nvSpPr>
        <xdr:spPr bwMode="gray">
          <a:xfrm rot="21267794">
            <a:off x="2980145" y="1628749"/>
            <a:ext cx="798173" cy="126283"/>
          </a:xfrm>
          <a:prstGeom prst="rect">
            <a:avLst/>
          </a:prstGeom>
          <a:noFill/>
        </xdr:spPr>
        <xdr:txBody>
          <a:bodyPr wrap="square" lIns="0" tIns="0" rIns="0" bIns="0" rtlCol="0">
            <a:no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800" b="1">
                <a:solidFill>
                  <a:srgbClr val="000000"/>
                </a:solidFill>
                <a:latin typeface="Arial" panose="020B0604020202020204" pitchFamily="34" charset="0"/>
                <a:cs typeface="Arial" panose="020B0604020202020204" pitchFamily="34" charset="0"/>
              </a:rPr>
              <a:t>Partner</a:t>
            </a:r>
          </a:p>
          <a:p>
            <a:r>
              <a:rPr lang="de-DE" sz="800" b="1">
                <a:solidFill>
                  <a:srgbClr val="000000"/>
                </a:solidFill>
                <a:latin typeface="Arial" panose="020B0604020202020204" pitchFamily="34" charset="0"/>
                <a:cs typeface="Arial" panose="020B0604020202020204" pitchFamily="34" charset="0"/>
              </a:rPr>
              <a:t>"your company"</a:t>
            </a:r>
          </a:p>
        </xdr:txBody>
      </xdr:sp>
    </xdr:grpSp>
    <xdr:clientData/>
  </xdr:twoCellAnchor>
  <xdr:twoCellAnchor>
    <xdr:from>
      <xdr:col>7</xdr:col>
      <xdr:colOff>98715</xdr:colOff>
      <xdr:row>19</xdr:row>
      <xdr:rowOff>0</xdr:rowOff>
    </xdr:from>
    <xdr:to>
      <xdr:col>10</xdr:col>
      <xdr:colOff>676273</xdr:colOff>
      <xdr:row>23</xdr:row>
      <xdr:rowOff>38099</xdr:rowOff>
    </xdr:to>
    <xdr:sp macro="" textlink="">
      <xdr:nvSpPr>
        <xdr:cNvPr id="34" name="Pfeil nach links 33">
          <a:hlinkClick xmlns:r="http://schemas.openxmlformats.org/officeDocument/2006/relationships" r:id="rId2"/>
          <a:extLst>
            <a:ext uri="{FF2B5EF4-FFF2-40B4-BE49-F238E27FC236}">
              <a16:creationId xmlns:a16="http://schemas.microsoft.com/office/drawing/2014/main" id="{00000000-0008-0000-0000-000022000000}"/>
            </a:ext>
          </a:extLst>
        </xdr:cNvPr>
        <xdr:cNvSpPr/>
      </xdr:nvSpPr>
      <xdr:spPr>
        <a:xfrm flipH="1">
          <a:off x="6670965" y="6781800"/>
          <a:ext cx="2930233" cy="504824"/>
        </a:xfrm>
        <a:prstGeom prst="left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1">
              <a:solidFill>
                <a:srgbClr val="FFC000"/>
              </a:solidFill>
              <a:latin typeface="Tahoma" panose="020B0604030504040204" pitchFamily="34" charset="0"/>
              <a:ea typeface="Tahoma" panose="020B0604030504040204" pitchFamily="34" charset="0"/>
              <a:cs typeface="Tahoma" panose="020B0604030504040204" pitchFamily="34" charset="0"/>
            </a:rPr>
            <a:t>START FILLING</a:t>
          </a:r>
          <a:r>
            <a:rPr lang="de-DE" sz="1000">
              <a:latin typeface="Tahoma" panose="020B0604030504040204" pitchFamily="34" charset="0"/>
              <a:ea typeface="Tahoma" panose="020B0604030504040204" pitchFamily="34" charset="0"/>
              <a:cs typeface="Tahoma" panose="020B0604030504040204" pitchFamily="34" charset="0"/>
            </a:rPr>
            <a:t>:</a:t>
          </a:r>
          <a:r>
            <a:rPr lang="de-DE" sz="1000" baseline="0">
              <a:latin typeface="Tahoma" panose="020B0604030504040204" pitchFamily="34" charset="0"/>
              <a:ea typeface="Tahoma" panose="020B0604030504040204" pitchFamily="34" charset="0"/>
              <a:cs typeface="Tahoma" panose="020B0604030504040204" pitchFamily="34" charset="0"/>
            </a:rPr>
            <a:t> contract data</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9</xdr:col>
      <xdr:colOff>28575</xdr:colOff>
      <xdr:row>6</xdr:row>
      <xdr:rowOff>1266825</xdr:rowOff>
    </xdr:from>
    <xdr:to>
      <xdr:col>10</xdr:col>
      <xdr:colOff>620367</xdr:colOff>
      <xdr:row>6</xdr:row>
      <xdr:rowOff>1781451</xdr:rowOff>
    </xdr:to>
    <xdr:grpSp>
      <xdr:nvGrpSpPr>
        <xdr:cNvPr id="4" name="Gruppieren 3">
          <a:extLst>
            <a:ext uri="{FF2B5EF4-FFF2-40B4-BE49-F238E27FC236}">
              <a16:creationId xmlns:a16="http://schemas.microsoft.com/office/drawing/2014/main" id="{7CB319F4-05F7-4B00-8C00-AE0606A37DCB}"/>
            </a:ext>
          </a:extLst>
        </xdr:cNvPr>
        <xdr:cNvGrpSpPr/>
      </xdr:nvGrpSpPr>
      <xdr:grpSpPr>
        <a:xfrm>
          <a:off x="8191500" y="2552700"/>
          <a:ext cx="1353792" cy="514626"/>
          <a:chOff x="8439150" y="2209800"/>
          <a:chExt cx="1353792" cy="514626"/>
        </a:xfrm>
      </xdr:grpSpPr>
      <xdr:sp macro="" textlink="">
        <xdr:nvSpPr>
          <xdr:cNvPr id="23" name="Textfeld 22">
            <a:hlinkClick xmlns:r="http://schemas.openxmlformats.org/officeDocument/2006/relationships" r:id="rId7"/>
            <a:extLst>
              <a:ext uri="{FF2B5EF4-FFF2-40B4-BE49-F238E27FC236}">
                <a16:creationId xmlns:a16="http://schemas.microsoft.com/office/drawing/2014/main" id="{62E0FA91-88DA-4BF5-AA82-0CA400685035}"/>
              </a:ext>
            </a:extLst>
          </xdr:cNvPr>
          <xdr:cNvSpPr txBox="1"/>
        </xdr:nvSpPr>
        <xdr:spPr>
          <a:xfrm>
            <a:off x="8439150" y="2342321"/>
            <a:ext cx="1353792" cy="223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documents</a:t>
            </a:r>
          </a:p>
        </xdr:txBody>
      </xdr:sp>
      <xdr:pic>
        <xdr:nvPicPr>
          <xdr:cNvPr id="24" name="Grafik 23">
            <a:hlinkClick xmlns:r="http://schemas.openxmlformats.org/officeDocument/2006/relationships" r:id="rId7"/>
            <a:extLst>
              <a:ext uri="{FF2B5EF4-FFF2-40B4-BE49-F238E27FC236}">
                <a16:creationId xmlns:a16="http://schemas.microsoft.com/office/drawing/2014/main" id="{73F20875-1389-4E54-B724-06865106CBD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9230991" y="2209800"/>
            <a:ext cx="532159" cy="514626"/>
          </a:xfrm>
          <a:prstGeom prst="rect">
            <a:avLst/>
          </a:prstGeom>
        </xdr:spPr>
      </xdr:pic>
    </xdr:grpSp>
    <xdr:clientData/>
  </xdr:twoCellAnchor>
  <xdr:twoCellAnchor>
    <xdr:from>
      <xdr:col>9</xdr:col>
      <xdr:colOff>47625</xdr:colOff>
      <xdr:row>17</xdr:row>
      <xdr:rowOff>533400</xdr:rowOff>
    </xdr:from>
    <xdr:to>
      <xdr:col>10</xdr:col>
      <xdr:colOff>605459</xdr:colOff>
      <xdr:row>17</xdr:row>
      <xdr:rowOff>1048026</xdr:rowOff>
    </xdr:to>
    <xdr:grpSp>
      <xdr:nvGrpSpPr>
        <xdr:cNvPr id="5" name="Gruppieren 4">
          <a:extLst>
            <a:ext uri="{FF2B5EF4-FFF2-40B4-BE49-F238E27FC236}">
              <a16:creationId xmlns:a16="http://schemas.microsoft.com/office/drawing/2014/main" id="{A139AF04-C5E3-4BCC-A0E9-DF666BFF3647}"/>
            </a:ext>
          </a:extLst>
        </xdr:cNvPr>
        <xdr:cNvGrpSpPr/>
      </xdr:nvGrpSpPr>
      <xdr:grpSpPr>
        <a:xfrm>
          <a:off x="8210550" y="5086350"/>
          <a:ext cx="1319834" cy="514626"/>
          <a:chOff x="9829800" y="5219700"/>
          <a:chExt cx="1319834" cy="514626"/>
        </a:xfrm>
      </xdr:grpSpPr>
      <xdr:sp macro="" textlink="">
        <xdr:nvSpPr>
          <xdr:cNvPr id="26" name="Textfeld 25">
            <a:hlinkClick xmlns:r="http://schemas.openxmlformats.org/officeDocument/2006/relationships" r:id="rId9"/>
            <a:extLst>
              <a:ext uri="{FF2B5EF4-FFF2-40B4-BE49-F238E27FC236}">
                <a16:creationId xmlns:a16="http://schemas.microsoft.com/office/drawing/2014/main" id="{E05C4767-2EEE-4B59-AA3A-4AF239BE743B}"/>
              </a:ext>
            </a:extLst>
          </xdr:cNvPr>
          <xdr:cNvSpPr txBox="1"/>
        </xdr:nvSpPr>
        <xdr:spPr>
          <a:xfrm>
            <a:off x="9829800" y="5360504"/>
            <a:ext cx="1319834" cy="223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ENX  Portal</a:t>
            </a:r>
          </a:p>
        </xdr:txBody>
      </xdr:sp>
      <xdr:pic>
        <xdr:nvPicPr>
          <xdr:cNvPr id="27" name="Grafik 26">
            <a:hlinkClick xmlns:r="http://schemas.openxmlformats.org/officeDocument/2006/relationships" r:id="rId9"/>
            <a:extLst>
              <a:ext uri="{FF2B5EF4-FFF2-40B4-BE49-F238E27FC236}">
                <a16:creationId xmlns:a16="http://schemas.microsoft.com/office/drawing/2014/main" id="{0C8D4313-5D7E-496F-9556-E9D71F4BF84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610080" y="5219700"/>
            <a:ext cx="518811" cy="514626"/>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2087217</xdr:colOff>
      <xdr:row>0</xdr:row>
      <xdr:rowOff>1354619</xdr:rowOff>
    </xdr:from>
    <xdr:to>
      <xdr:col>4</xdr:col>
      <xdr:colOff>560318</xdr:colOff>
      <xdr:row>3</xdr:row>
      <xdr:rowOff>1399</xdr:rowOff>
    </xdr:to>
    <xdr:pic>
      <xdr:nvPicPr>
        <xdr:cNvPr id="3" name="Grafik 2" descr="Puzzleteile">
          <a:extLst>
            <a:ext uri="{FF2B5EF4-FFF2-40B4-BE49-F238E27FC236}">
              <a16:creationId xmlns:a16="http://schemas.microsoft.com/office/drawing/2014/main" id="{4020F0AB-BE9B-4AA1-9157-066367477A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544917" y="925994"/>
          <a:ext cx="844826" cy="856580"/>
        </a:xfrm>
        <a:prstGeom prst="rect">
          <a:avLst/>
        </a:prstGeom>
      </xdr:spPr>
    </xdr:pic>
    <xdr:clientData/>
  </xdr:twoCellAnchor>
  <xdr:twoCellAnchor>
    <xdr:from>
      <xdr:col>1</xdr:col>
      <xdr:colOff>1072474</xdr:colOff>
      <xdr:row>31</xdr:row>
      <xdr:rowOff>125204</xdr:rowOff>
    </xdr:from>
    <xdr:to>
      <xdr:col>12</xdr:col>
      <xdr:colOff>605957</xdr:colOff>
      <xdr:row>53</xdr:row>
      <xdr:rowOff>106945</xdr:rowOff>
    </xdr:to>
    <xdr:grpSp>
      <xdr:nvGrpSpPr>
        <xdr:cNvPr id="4" name="Gruppieren 3">
          <a:extLst>
            <a:ext uri="{FF2B5EF4-FFF2-40B4-BE49-F238E27FC236}">
              <a16:creationId xmlns:a16="http://schemas.microsoft.com/office/drawing/2014/main" id="{B6C978EA-ED28-43C2-8A2D-C32BA1E73C84}"/>
            </a:ext>
          </a:extLst>
        </xdr:cNvPr>
        <xdr:cNvGrpSpPr/>
      </xdr:nvGrpSpPr>
      <xdr:grpSpPr>
        <a:xfrm>
          <a:off x="1224874" y="9231104"/>
          <a:ext cx="14944933" cy="4172741"/>
          <a:chOff x="109847" y="9098763"/>
          <a:chExt cx="15845118" cy="5013414"/>
        </a:xfrm>
      </xdr:grpSpPr>
      <xdr:sp macro="" textlink="">
        <xdr:nvSpPr>
          <xdr:cNvPr id="5" name="Rechteck 4">
            <a:extLst>
              <a:ext uri="{FF2B5EF4-FFF2-40B4-BE49-F238E27FC236}">
                <a16:creationId xmlns:a16="http://schemas.microsoft.com/office/drawing/2014/main" id="{82606394-57F0-494E-B9A5-C37A146DB61A}"/>
              </a:ext>
            </a:extLst>
          </xdr:cNvPr>
          <xdr:cNvSpPr/>
        </xdr:nvSpPr>
        <xdr:spPr>
          <a:xfrm>
            <a:off x="109847" y="9098763"/>
            <a:ext cx="15845118" cy="5013414"/>
          </a:xfrm>
          <a:prstGeom prst="rect">
            <a:avLst/>
          </a:prstGeom>
          <a:solidFill>
            <a:srgbClr val="FFF0C1"/>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 name="Textfeld 5">
            <a:extLst>
              <a:ext uri="{FF2B5EF4-FFF2-40B4-BE49-F238E27FC236}">
                <a16:creationId xmlns:a16="http://schemas.microsoft.com/office/drawing/2014/main" id="{30ED0A4A-992B-4CA9-B9A9-CB8ED1BFE6BD}"/>
              </a:ext>
            </a:extLst>
          </xdr:cNvPr>
          <xdr:cNvSpPr txBox="1"/>
        </xdr:nvSpPr>
        <xdr:spPr>
          <a:xfrm>
            <a:off x="240956" y="9320079"/>
            <a:ext cx="3151727" cy="447676"/>
          </a:xfrm>
          <a:prstGeom prst="rect">
            <a:avLst/>
          </a:prstGeom>
          <a:ln>
            <a:solidFill>
              <a:schemeClr val="bg1">
                <a:lumMod val="50000"/>
              </a:schemeClr>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lIns="0" tIns="0" rIns="0" bIns="0" rtlCol="0" anchor="ctr"/>
          <a:lstStyle/>
          <a:p>
            <a:pPr algn="ctr"/>
            <a:r>
              <a:rPr lang="de-DE" sz="1300" b="1" baseline="0">
                <a:latin typeface="Arial" panose="020B0604020202020204" pitchFamily="34" charset="0"/>
                <a:cs typeface="Arial" panose="020B0604020202020204" pitchFamily="34" charset="0"/>
              </a:rPr>
              <a:t>TISAX</a:t>
            </a:r>
            <a:r>
              <a:rPr lang="de-DE" sz="1200" b="1" baseline="30000">
                <a:latin typeface="Arial" panose="020B0604020202020204" pitchFamily="34" charset="0"/>
                <a:cs typeface="Arial" panose="020B0604020202020204" pitchFamily="34" charset="0"/>
              </a:rPr>
              <a:t>®</a:t>
            </a:r>
            <a:r>
              <a:rPr lang="de-DE" sz="1300" b="1" baseline="0">
                <a:latin typeface="Arial" panose="020B0604020202020204" pitchFamily="34" charset="0"/>
                <a:cs typeface="Arial" panose="020B0604020202020204" pitchFamily="34" charset="0"/>
              </a:rPr>
              <a:t> assessement process</a:t>
            </a:r>
          </a:p>
        </xdr:txBody>
      </xdr:sp>
      <xdr:sp macro="" textlink="">
        <xdr:nvSpPr>
          <xdr:cNvPr id="7" name="Textfeld 6">
            <a:extLst>
              <a:ext uri="{FF2B5EF4-FFF2-40B4-BE49-F238E27FC236}">
                <a16:creationId xmlns:a16="http://schemas.microsoft.com/office/drawing/2014/main" id="{6CB3878A-8259-4BA6-9A11-21183F4BD13A}"/>
              </a:ext>
            </a:extLst>
          </xdr:cNvPr>
          <xdr:cNvSpPr txBox="1"/>
        </xdr:nvSpPr>
        <xdr:spPr>
          <a:xfrm>
            <a:off x="3397653" y="9872529"/>
            <a:ext cx="11992535" cy="1294279"/>
          </a:xfrm>
          <a:prstGeom prst="rect">
            <a:avLst/>
          </a:prstGeom>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r>
              <a:rPr lang="de-DE" sz="1100" baseline="0">
                <a:solidFill>
                  <a:schemeClr val="bg1"/>
                </a:solidFill>
              </a:rPr>
              <a:t>-  The proof of appropriate information security by a TISAX® assessment is a precondition for the technical connection to the Volkswagen partner company network Volkswagen/Audi. </a:t>
            </a:r>
          </a:p>
          <a:p>
            <a:pPr algn="l"/>
            <a:r>
              <a:rPr lang="de-DE" sz="1100" baseline="0">
                <a:solidFill>
                  <a:schemeClr val="bg1"/>
                </a:solidFill>
              </a:rPr>
              <a:t>-  Coordinate information on the protection needs of the data which are exchanged in the cooperation with Volkswagen Group, as well as the to-be-proven TISAX label  </a:t>
            </a:r>
            <a:br>
              <a:rPr lang="de-DE" sz="1100" baseline="0">
                <a:solidFill>
                  <a:schemeClr val="bg1"/>
                </a:solidFill>
              </a:rPr>
            </a:br>
            <a:r>
              <a:rPr lang="de-DE" sz="1100" baseline="0">
                <a:solidFill>
                  <a:schemeClr val="bg1"/>
                </a:solidFill>
              </a:rPr>
              <a:t>   with your cooperating Volkswagen Group-department.</a:t>
            </a:r>
          </a:p>
          <a:p>
            <a:pPr algn="l"/>
            <a:r>
              <a:rPr lang="de-DE" sz="1100" baseline="0">
                <a:solidFill>
                  <a:schemeClr val="bg1"/>
                </a:solidFill>
              </a:rPr>
              <a:t>- The proof of appropriate information security by a TISAX® assessment is location-based. </a:t>
            </a:r>
            <a:br>
              <a:rPr lang="de-DE" sz="1100" baseline="0">
                <a:solidFill>
                  <a:schemeClr val="bg1"/>
                </a:solidFill>
              </a:rPr>
            </a:br>
            <a:r>
              <a:rPr lang="de-DE" sz="1100" baseline="0">
                <a:solidFill>
                  <a:schemeClr val="bg1"/>
                </a:solidFill>
              </a:rPr>
              <a:t>   All locations of your company with access to the requested services and data need to provide this proof. </a:t>
            </a:r>
          </a:p>
          <a:p>
            <a:pPr algn="l"/>
            <a:r>
              <a:rPr lang="de-DE" sz="1100" baseline="0">
                <a:solidFill>
                  <a:schemeClr val="bg1"/>
                </a:solidFill>
              </a:rPr>
              <a:t>- For further information on TISAX assessment process please have a look to the TISAX participant handbook.  </a:t>
            </a:r>
          </a:p>
        </xdr:txBody>
      </xdr:sp>
      <xdr:sp macro="" textlink="">
        <xdr:nvSpPr>
          <xdr:cNvPr id="8" name="Textfeld 7">
            <a:extLst>
              <a:ext uri="{FF2B5EF4-FFF2-40B4-BE49-F238E27FC236}">
                <a16:creationId xmlns:a16="http://schemas.microsoft.com/office/drawing/2014/main" id="{999F57F5-64E1-4138-8F55-7A80CDE92B70}"/>
              </a:ext>
            </a:extLst>
          </xdr:cNvPr>
          <xdr:cNvSpPr txBox="1"/>
        </xdr:nvSpPr>
        <xdr:spPr>
          <a:xfrm>
            <a:off x="3407177" y="11290633"/>
            <a:ext cx="11992535" cy="690843"/>
          </a:xfrm>
          <a:prstGeom prst="rect">
            <a:avLst/>
          </a:prstGeom>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aseline="0">
                <a:solidFill>
                  <a:schemeClr val="bg1"/>
                </a:solidFill>
                <a:latin typeface="+mn-lt"/>
                <a:ea typeface="+mn-ea"/>
                <a:cs typeface="+mn-cs"/>
              </a:rPr>
              <a:t>- At first step on the way of TISAX® Assessments register your company and the assessment scope at ENX portal,  https://portal.enx.com.</a:t>
            </a:r>
          </a:p>
          <a:p>
            <a:pPr marL="0" indent="0"/>
            <a:r>
              <a:rPr lang="de-DE" sz="1100" baseline="0">
                <a:solidFill>
                  <a:schemeClr val="bg1"/>
                </a:solidFill>
                <a:latin typeface="+mn-lt"/>
                <a:ea typeface="+mn-ea"/>
                <a:cs typeface="+mn-cs"/>
              </a:rPr>
              <a:t>- A contact list of all TISAX audit providers will be handed out after completion of registration.</a:t>
            </a:r>
          </a:p>
        </xdr:txBody>
      </xdr:sp>
      <xdr:sp macro="" textlink="">
        <xdr:nvSpPr>
          <xdr:cNvPr id="9" name="Textfeld 8">
            <a:extLst>
              <a:ext uri="{FF2B5EF4-FFF2-40B4-BE49-F238E27FC236}">
                <a16:creationId xmlns:a16="http://schemas.microsoft.com/office/drawing/2014/main" id="{A4F074C1-7C1E-4A1F-9FE0-2D6880A7A6D4}"/>
              </a:ext>
            </a:extLst>
          </xdr:cNvPr>
          <xdr:cNvSpPr txBox="1"/>
        </xdr:nvSpPr>
        <xdr:spPr>
          <a:xfrm>
            <a:off x="3404694" y="12230782"/>
            <a:ext cx="11992535" cy="547893"/>
          </a:xfrm>
          <a:prstGeom prst="rect">
            <a:avLst/>
          </a:prstGeom>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aseline="0">
                <a:solidFill>
                  <a:schemeClr val="bg1"/>
                </a:solidFill>
                <a:latin typeface="+mn-lt"/>
                <a:ea typeface="+mn-ea"/>
                <a:cs typeface="+mn-cs"/>
              </a:rPr>
              <a:t>- Choose one of the listed TISAX audit providers and  carry out the assessment together with them.</a:t>
            </a:r>
          </a:p>
          <a:p>
            <a:pPr marL="0" indent="0"/>
            <a:r>
              <a:rPr lang="de-DE" sz="1100" baseline="0">
                <a:solidFill>
                  <a:schemeClr val="bg1"/>
                </a:solidFill>
                <a:latin typeface="+mn-lt"/>
                <a:ea typeface="+mn-ea"/>
                <a:cs typeface="+mn-cs"/>
              </a:rPr>
              <a:t>- The assessment result will be reported by the TISAX audit provider in the TISAX report, which will be provides to you on ENX portal.</a:t>
            </a:r>
          </a:p>
        </xdr:txBody>
      </xdr:sp>
      <xdr:sp macro="" textlink="">
        <xdr:nvSpPr>
          <xdr:cNvPr id="10" name="Textfeld 9">
            <a:extLst>
              <a:ext uri="{FF2B5EF4-FFF2-40B4-BE49-F238E27FC236}">
                <a16:creationId xmlns:a16="http://schemas.microsoft.com/office/drawing/2014/main" id="{6BF2BD21-8484-452D-B3E8-1E0ED247A5CA}"/>
              </a:ext>
            </a:extLst>
          </xdr:cNvPr>
          <xdr:cNvSpPr txBox="1"/>
        </xdr:nvSpPr>
        <xdr:spPr>
          <a:xfrm>
            <a:off x="3377362" y="13134828"/>
            <a:ext cx="11992535" cy="556593"/>
          </a:xfrm>
          <a:prstGeom prst="rect">
            <a:avLst/>
          </a:prstGeom>
          <a:ln>
            <a:solidFill>
              <a:schemeClr val="bg1">
                <a:lumMod val="5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aseline="0">
                <a:solidFill>
                  <a:schemeClr val="bg1"/>
                </a:solidFill>
                <a:latin typeface="+mn-lt"/>
                <a:ea typeface="+mn-ea"/>
                <a:cs typeface="+mn-cs"/>
              </a:rPr>
              <a:t>- Share the TISAX report on the ENX portal with the Volkswagen Group . </a:t>
            </a:r>
          </a:p>
          <a:p>
            <a:pPr marL="0" indent="0"/>
            <a:r>
              <a:rPr lang="de-DE" sz="1100" baseline="0">
                <a:solidFill>
                  <a:schemeClr val="bg1"/>
                </a:solidFill>
                <a:latin typeface="+mn-lt"/>
                <a:ea typeface="+mn-ea"/>
                <a:cs typeface="+mn-cs"/>
              </a:rPr>
              <a:t>- With access authorisation to the TISAX report, the Volkswagen Group acquires knowledge of  the </a:t>
            </a:r>
            <a:r>
              <a:rPr lang="de-DE" sz="1100" baseline="0">
                <a:solidFill>
                  <a:schemeClr val="lt1"/>
                </a:solidFill>
                <a:effectLst/>
                <a:latin typeface="+mn-lt"/>
                <a:ea typeface="+mn-ea"/>
                <a:cs typeface="+mn-cs"/>
              </a:rPr>
              <a:t>TISAX® l</a:t>
            </a:r>
            <a:r>
              <a:rPr lang="de-DE" sz="1100" baseline="0">
                <a:solidFill>
                  <a:schemeClr val="bg1"/>
                </a:solidFill>
                <a:latin typeface="+mn-lt"/>
                <a:ea typeface="+mn-ea"/>
                <a:cs typeface="+mn-cs"/>
              </a:rPr>
              <a:t>abel and it´s validity period.</a:t>
            </a:r>
          </a:p>
        </xdr:txBody>
      </xdr:sp>
      <xdr:sp macro="" textlink="">
        <xdr:nvSpPr>
          <xdr:cNvPr id="11" name="Gleichschenkliges Dreieck 10">
            <a:extLst>
              <a:ext uri="{FF2B5EF4-FFF2-40B4-BE49-F238E27FC236}">
                <a16:creationId xmlns:a16="http://schemas.microsoft.com/office/drawing/2014/main" id="{735A5F4B-A159-4EA2-989E-5E88962ED3F8}"/>
              </a:ext>
            </a:extLst>
          </xdr:cNvPr>
          <xdr:cNvSpPr/>
        </xdr:nvSpPr>
        <xdr:spPr>
          <a:xfrm flipV="1">
            <a:off x="942493" y="10916064"/>
            <a:ext cx="546652" cy="124239"/>
          </a:xfrm>
          <a:prstGeom prst="triangle">
            <a:avLst/>
          </a:prstGeom>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2" name="Gleichschenkliges Dreieck 11">
            <a:extLst>
              <a:ext uri="{FF2B5EF4-FFF2-40B4-BE49-F238E27FC236}">
                <a16:creationId xmlns:a16="http://schemas.microsoft.com/office/drawing/2014/main" id="{F98BD7D8-B44E-4156-8CCF-C5065E52105E}"/>
              </a:ext>
            </a:extLst>
          </xdr:cNvPr>
          <xdr:cNvSpPr/>
        </xdr:nvSpPr>
        <xdr:spPr>
          <a:xfrm flipV="1">
            <a:off x="901080" y="12077058"/>
            <a:ext cx="546652" cy="124239"/>
          </a:xfrm>
          <a:prstGeom prst="triangle">
            <a:avLst/>
          </a:prstGeom>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3" name="Gleichschenkliges Dreieck 12">
            <a:extLst>
              <a:ext uri="{FF2B5EF4-FFF2-40B4-BE49-F238E27FC236}">
                <a16:creationId xmlns:a16="http://schemas.microsoft.com/office/drawing/2014/main" id="{9204EE8E-24B6-4DA9-9AA4-C8BACF08498C}"/>
              </a:ext>
            </a:extLst>
          </xdr:cNvPr>
          <xdr:cNvSpPr/>
        </xdr:nvSpPr>
        <xdr:spPr>
          <a:xfrm flipV="1">
            <a:off x="867950" y="12952611"/>
            <a:ext cx="546652" cy="124239"/>
          </a:xfrm>
          <a:prstGeom prst="triangle">
            <a:avLst/>
          </a:prstGeom>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14" name="Textfeld 13">
            <a:extLst>
              <a:ext uri="{FF2B5EF4-FFF2-40B4-BE49-F238E27FC236}">
                <a16:creationId xmlns:a16="http://schemas.microsoft.com/office/drawing/2014/main" id="{3835B8C0-AE2F-4452-8D8B-551211F4691D}"/>
              </a:ext>
            </a:extLst>
          </xdr:cNvPr>
          <xdr:cNvSpPr txBox="1"/>
        </xdr:nvSpPr>
        <xdr:spPr>
          <a:xfrm>
            <a:off x="226875" y="10013260"/>
            <a:ext cx="2097351" cy="865119"/>
          </a:xfrm>
          <a:prstGeom prst="rect">
            <a:avLst/>
          </a:prstGeom>
          <a:ln>
            <a:solidFill>
              <a:schemeClr val="bg1">
                <a:lumMod val="50000"/>
              </a:schemeClr>
            </a:solidFill>
          </a:ln>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0" rIns="72000" bIns="0" rtlCol="0" anchor="ctr"/>
          <a:lstStyle/>
          <a:p>
            <a:r>
              <a:rPr lang="de-DE" sz="1100" b="1" baseline="0">
                <a:solidFill>
                  <a:schemeClr val="bg1"/>
                </a:solidFill>
              </a:rPr>
              <a:t>Step 1</a:t>
            </a:r>
          </a:p>
          <a:p>
            <a:r>
              <a:rPr lang="de-DE" sz="1100" baseline="0">
                <a:solidFill>
                  <a:schemeClr val="bg1"/>
                </a:solidFill>
              </a:rPr>
              <a:t>Determination of the requirements</a:t>
            </a:r>
          </a:p>
        </xdr:txBody>
      </xdr:sp>
      <xdr:sp macro="" textlink="">
        <xdr:nvSpPr>
          <xdr:cNvPr id="15" name="Textfeld 14">
            <a:extLst>
              <a:ext uri="{FF2B5EF4-FFF2-40B4-BE49-F238E27FC236}">
                <a16:creationId xmlns:a16="http://schemas.microsoft.com/office/drawing/2014/main" id="{7C824ECB-1FF9-4BDD-9519-04D02C3ED239}"/>
              </a:ext>
            </a:extLst>
          </xdr:cNvPr>
          <xdr:cNvSpPr txBox="1"/>
        </xdr:nvSpPr>
        <xdr:spPr>
          <a:xfrm>
            <a:off x="199103" y="11099803"/>
            <a:ext cx="2058861" cy="931285"/>
          </a:xfrm>
          <a:prstGeom prst="rect">
            <a:avLst/>
          </a:prstGeom>
          <a:ln>
            <a:solidFill>
              <a:schemeClr val="bg1">
                <a:lumMod val="50000"/>
              </a:schemeClr>
            </a:solidFill>
          </a:ln>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0" rIns="72000" bIns="0" rtlCol="0" anchor="ctr"/>
          <a:lstStyle/>
          <a:p>
            <a:r>
              <a:rPr lang="de-DE" sz="1100" b="1" baseline="0">
                <a:solidFill>
                  <a:schemeClr val="bg1"/>
                </a:solidFill>
              </a:rPr>
              <a:t>Step 2</a:t>
            </a:r>
          </a:p>
          <a:p>
            <a:r>
              <a:rPr lang="de-DE" sz="1100" baseline="0">
                <a:solidFill>
                  <a:schemeClr val="bg1"/>
                </a:solidFill>
              </a:rPr>
              <a:t>Registration of the TISAX® participant and specification of </a:t>
            </a:r>
          </a:p>
          <a:p>
            <a:r>
              <a:rPr lang="de-DE" sz="1100" baseline="0">
                <a:solidFill>
                  <a:schemeClr val="bg1"/>
                </a:solidFill>
              </a:rPr>
              <a:t>the assessment scope</a:t>
            </a:r>
          </a:p>
        </xdr:txBody>
      </xdr:sp>
      <xdr:sp macro="" textlink="">
        <xdr:nvSpPr>
          <xdr:cNvPr id="16" name="Textfeld 15">
            <a:extLst>
              <a:ext uri="{FF2B5EF4-FFF2-40B4-BE49-F238E27FC236}">
                <a16:creationId xmlns:a16="http://schemas.microsoft.com/office/drawing/2014/main" id="{B572CCF8-8E18-4EB3-864C-3CD78DEF4B9A}"/>
              </a:ext>
            </a:extLst>
          </xdr:cNvPr>
          <xdr:cNvSpPr txBox="1"/>
        </xdr:nvSpPr>
        <xdr:spPr>
          <a:xfrm>
            <a:off x="182538" y="12207175"/>
            <a:ext cx="2058861" cy="672961"/>
          </a:xfrm>
          <a:prstGeom prst="rect">
            <a:avLst/>
          </a:prstGeom>
          <a:ln>
            <a:solidFill>
              <a:schemeClr val="bg1">
                <a:lumMod val="50000"/>
              </a:schemeClr>
            </a:solidFill>
          </a:ln>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0" rIns="72000" bIns="0" rtlCol="0" anchor="ctr"/>
          <a:lstStyle/>
          <a:p>
            <a:r>
              <a:rPr lang="de-DE" sz="1100" b="1" baseline="0">
                <a:solidFill>
                  <a:schemeClr val="bg1"/>
                </a:solidFill>
              </a:rPr>
              <a:t>Step 3</a:t>
            </a:r>
          </a:p>
          <a:p>
            <a:r>
              <a:rPr lang="de-DE" sz="1100" baseline="0">
                <a:solidFill>
                  <a:schemeClr val="bg1"/>
                </a:solidFill>
              </a:rPr>
              <a:t>Execution of the TISAX® Assessment</a:t>
            </a:r>
          </a:p>
        </xdr:txBody>
      </xdr:sp>
      <xdr:sp macro="" textlink="">
        <xdr:nvSpPr>
          <xdr:cNvPr id="17" name="Textfeld 16">
            <a:extLst>
              <a:ext uri="{FF2B5EF4-FFF2-40B4-BE49-F238E27FC236}">
                <a16:creationId xmlns:a16="http://schemas.microsoft.com/office/drawing/2014/main" id="{9F7B6C57-BEDD-497F-AD00-711C80B7F07B}"/>
              </a:ext>
            </a:extLst>
          </xdr:cNvPr>
          <xdr:cNvSpPr txBox="1"/>
        </xdr:nvSpPr>
        <xdr:spPr>
          <a:xfrm>
            <a:off x="182537" y="13101698"/>
            <a:ext cx="2058861" cy="862086"/>
          </a:xfrm>
          <a:prstGeom prst="rect">
            <a:avLst/>
          </a:prstGeom>
          <a:ln>
            <a:solidFill>
              <a:schemeClr val="bg1">
                <a:lumMod val="50000"/>
              </a:schemeClr>
            </a:solidFill>
          </a:ln>
        </xdr:spPr>
        <xdr:style>
          <a:lnRef idx="1">
            <a:schemeClr val="accent6"/>
          </a:lnRef>
          <a:fillRef idx="3">
            <a:schemeClr val="accent6"/>
          </a:fillRef>
          <a:effectRef idx="2">
            <a:schemeClr val="accent6"/>
          </a:effectRef>
          <a:fontRef idx="minor">
            <a:schemeClr val="lt1"/>
          </a:fontRef>
        </xdr:style>
        <xdr:txBody>
          <a:bodyPr vertOverflow="clip" horzOverflow="clip" wrap="square" lIns="72000" tIns="0" rIns="72000" bIns="0" rtlCol="0" anchor="ctr"/>
          <a:lstStyle/>
          <a:p>
            <a:r>
              <a:rPr lang="de-DE" sz="1100" b="1" baseline="0">
                <a:solidFill>
                  <a:schemeClr val="bg1"/>
                </a:solidFill>
              </a:rPr>
              <a:t>Step 4</a:t>
            </a:r>
          </a:p>
          <a:p>
            <a:r>
              <a:rPr lang="de-DE" sz="1100" baseline="0">
                <a:solidFill>
                  <a:schemeClr val="bg1"/>
                </a:solidFill>
              </a:rPr>
              <a:t>Exchange of the </a:t>
            </a:r>
            <a:r>
              <a:rPr lang="de-DE" sz="1100" baseline="0">
                <a:solidFill>
                  <a:schemeClr val="lt1"/>
                </a:solidFill>
                <a:effectLst/>
                <a:latin typeface="+mn-lt"/>
                <a:ea typeface="+mn-ea"/>
                <a:cs typeface="+mn-cs"/>
              </a:rPr>
              <a:t>TISAX® assessment results </a:t>
            </a:r>
            <a:r>
              <a:rPr lang="de-DE" sz="1100" baseline="0">
                <a:solidFill>
                  <a:schemeClr val="bg1"/>
                </a:solidFill>
              </a:rPr>
              <a:t>with Volkswagen Group</a:t>
            </a:r>
          </a:p>
        </xdr:txBody>
      </xdr:sp>
    </xdr:grpSp>
    <xdr:clientData/>
  </xdr:twoCellAnchor>
  <xdr:twoCellAnchor>
    <xdr:from>
      <xdr:col>1</xdr:col>
      <xdr:colOff>1062951</xdr:colOff>
      <xdr:row>59</xdr:row>
      <xdr:rowOff>32987</xdr:rowOff>
    </xdr:from>
    <xdr:to>
      <xdr:col>12</xdr:col>
      <xdr:colOff>596434</xdr:colOff>
      <xdr:row>71</xdr:row>
      <xdr:rowOff>162218</xdr:rowOff>
    </xdr:to>
    <xdr:grpSp>
      <xdr:nvGrpSpPr>
        <xdr:cNvPr id="18" name="Gruppieren 17">
          <a:extLst>
            <a:ext uri="{FF2B5EF4-FFF2-40B4-BE49-F238E27FC236}">
              <a16:creationId xmlns:a16="http://schemas.microsoft.com/office/drawing/2014/main" id="{E6CDCD83-92D2-4C33-924F-4DAFA380664F}"/>
            </a:ext>
          </a:extLst>
        </xdr:cNvPr>
        <xdr:cNvGrpSpPr/>
      </xdr:nvGrpSpPr>
      <xdr:grpSpPr>
        <a:xfrm>
          <a:off x="1215351" y="14472887"/>
          <a:ext cx="14944933" cy="2415231"/>
          <a:chOff x="211807" y="16788508"/>
          <a:chExt cx="15845118" cy="3653118"/>
        </a:xfrm>
      </xdr:grpSpPr>
      <xdr:sp macro="" textlink="">
        <xdr:nvSpPr>
          <xdr:cNvPr id="19" name="Rechteck 18">
            <a:extLst>
              <a:ext uri="{FF2B5EF4-FFF2-40B4-BE49-F238E27FC236}">
                <a16:creationId xmlns:a16="http://schemas.microsoft.com/office/drawing/2014/main" id="{798FFDDD-5F9A-4AF0-897A-C76544C92AA1}"/>
              </a:ext>
            </a:extLst>
          </xdr:cNvPr>
          <xdr:cNvSpPr/>
        </xdr:nvSpPr>
        <xdr:spPr>
          <a:xfrm>
            <a:off x="211807" y="16788508"/>
            <a:ext cx="15845118" cy="3653118"/>
          </a:xfrm>
          <a:prstGeom prst="rect">
            <a:avLst/>
          </a:prstGeom>
          <a:solidFill>
            <a:srgbClr val="FFD5D5"/>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0" name="Textfeld 19">
            <a:extLst>
              <a:ext uri="{FF2B5EF4-FFF2-40B4-BE49-F238E27FC236}">
                <a16:creationId xmlns:a16="http://schemas.microsoft.com/office/drawing/2014/main" id="{45781B66-E61A-473D-A662-04E096B49BF7}"/>
              </a:ext>
            </a:extLst>
          </xdr:cNvPr>
          <xdr:cNvSpPr txBox="1"/>
        </xdr:nvSpPr>
        <xdr:spPr>
          <a:xfrm>
            <a:off x="3486727" y="19085271"/>
            <a:ext cx="11992535" cy="576740"/>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aseline="0">
                <a:solidFill>
                  <a:schemeClr val="bg1"/>
                </a:solidFill>
                <a:latin typeface="+mn-lt"/>
                <a:ea typeface="+mn-ea"/>
                <a:cs typeface="+mn-cs"/>
              </a:rPr>
              <a:t>- Contact of CSN Service and inform about the agreed procedure: csn.service@o-s.de</a:t>
            </a:r>
          </a:p>
        </xdr:txBody>
      </xdr:sp>
      <xdr:sp macro="" textlink="">
        <xdr:nvSpPr>
          <xdr:cNvPr id="21" name="Gleichschenkliges Dreieck 20">
            <a:extLst>
              <a:ext uri="{FF2B5EF4-FFF2-40B4-BE49-F238E27FC236}">
                <a16:creationId xmlns:a16="http://schemas.microsoft.com/office/drawing/2014/main" id="{0CDFAAB9-CB0B-4CDF-91D5-87D5B585D43A}"/>
              </a:ext>
            </a:extLst>
          </xdr:cNvPr>
          <xdr:cNvSpPr/>
        </xdr:nvSpPr>
        <xdr:spPr>
          <a:xfrm flipV="1">
            <a:off x="1033247" y="18882077"/>
            <a:ext cx="546652" cy="86084"/>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22" name="Textfeld 21">
            <a:extLst>
              <a:ext uri="{FF2B5EF4-FFF2-40B4-BE49-F238E27FC236}">
                <a16:creationId xmlns:a16="http://schemas.microsoft.com/office/drawing/2014/main" id="{ED889901-9B3B-4EE5-B0B5-B68734450B16}"/>
              </a:ext>
            </a:extLst>
          </xdr:cNvPr>
          <xdr:cNvSpPr txBox="1"/>
        </xdr:nvSpPr>
        <xdr:spPr>
          <a:xfrm>
            <a:off x="317629" y="17703427"/>
            <a:ext cx="2097350" cy="1102259"/>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lIns="0" tIns="0" rIns="0" bIns="0" rtlCol="0" anchor="ctr"/>
          <a:lstStyle/>
          <a:p>
            <a:pPr marL="0" indent="0" algn="ctr"/>
            <a:r>
              <a:rPr lang="de-DE" sz="1100" b="1" baseline="0">
                <a:solidFill>
                  <a:schemeClr val="lt1"/>
                </a:solidFill>
                <a:latin typeface="+mn-lt"/>
                <a:ea typeface="+mn-ea"/>
                <a:cs typeface="+mn-cs"/>
              </a:rPr>
              <a:t>Step 1</a:t>
            </a:r>
          </a:p>
          <a:p>
            <a:pPr marL="0" indent="0" algn="ctr"/>
            <a:r>
              <a:rPr lang="de-DE" sz="1100" baseline="0">
                <a:solidFill>
                  <a:schemeClr val="lt1"/>
                </a:solidFill>
                <a:latin typeface="+mn-lt"/>
                <a:ea typeface="+mn-ea"/>
                <a:cs typeface="+mn-cs"/>
              </a:rPr>
              <a:t>Inform your contact person of </a:t>
            </a:r>
            <a:br>
              <a:rPr lang="de-DE" sz="1100" baseline="0">
                <a:solidFill>
                  <a:schemeClr val="lt1"/>
                </a:solidFill>
                <a:latin typeface="+mn-lt"/>
                <a:ea typeface="+mn-ea"/>
                <a:cs typeface="+mn-cs"/>
              </a:rPr>
            </a:br>
            <a:r>
              <a:rPr lang="de-DE" sz="1100" baseline="0">
                <a:solidFill>
                  <a:schemeClr val="lt1"/>
                </a:solidFill>
                <a:latin typeface="+mn-lt"/>
                <a:ea typeface="+mn-ea"/>
                <a:cs typeface="+mn-cs"/>
              </a:rPr>
              <a:t>the cooperating </a:t>
            </a:r>
            <a:br>
              <a:rPr lang="de-DE" sz="1100" baseline="0">
                <a:solidFill>
                  <a:schemeClr val="lt1"/>
                </a:solidFill>
                <a:latin typeface="+mn-lt"/>
                <a:ea typeface="+mn-ea"/>
                <a:cs typeface="+mn-cs"/>
              </a:rPr>
            </a:br>
            <a:r>
              <a:rPr lang="de-DE" sz="1100" baseline="0">
                <a:solidFill>
                  <a:schemeClr val="lt1"/>
                </a:solidFill>
                <a:latin typeface="+mn-lt"/>
                <a:ea typeface="+mn-ea"/>
                <a:cs typeface="+mn-cs"/>
              </a:rPr>
              <a:t> VW Group department</a:t>
            </a:r>
          </a:p>
        </xdr:txBody>
      </xdr:sp>
      <xdr:sp macro="" textlink="">
        <xdr:nvSpPr>
          <xdr:cNvPr id="23" name="Textfeld 22">
            <a:extLst>
              <a:ext uri="{FF2B5EF4-FFF2-40B4-BE49-F238E27FC236}">
                <a16:creationId xmlns:a16="http://schemas.microsoft.com/office/drawing/2014/main" id="{D2B9FF83-AD73-433F-90EE-C31A00421709}"/>
              </a:ext>
            </a:extLst>
          </xdr:cNvPr>
          <xdr:cNvSpPr txBox="1"/>
        </xdr:nvSpPr>
        <xdr:spPr>
          <a:xfrm>
            <a:off x="301452" y="16855745"/>
            <a:ext cx="3816694" cy="750794"/>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lIns="0" tIns="0" rIns="0" bIns="0" rtlCol="0" anchor="ctr"/>
          <a:lstStyle/>
          <a:p>
            <a:pPr algn="ctr"/>
            <a:r>
              <a:rPr lang="de-DE" sz="1300" b="1" baseline="0">
                <a:latin typeface="Arial" panose="020B0604020202020204" pitchFamily="34" charset="0"/>
                <a:cs typeface="Arial" panose="020B0604020202020204" pitchFamily="34" charset="0"/>
              </a:rPr>
              <a:t>No TISAX® label verifiable, but the CSN service has to be available in a short time?</a:t>
            </a:r>
          </a:p>
        </xdr:txBody>
      </xdr:sp>
      <xdr:sp macro="" textlink="">
        <xdr:nvSpPr>
          <xdr:cNvPr id="24" name="Textfeld 23">
            <a:extLst>
              <a:ext uri="{FF2B5EF4-FFF2-40B4-BE49-F238E27FC236}">
                <a16:creationId xmlns:a16="http://schemas.microsoft.com/office/drawing/2014/main" id="{541F8CF5-3896-40D1-A7F1-7CB48763E676}"/>
              </a:ext>
            </a:extLst>
          </xdr:cNvPr>
          <xdr:cNvSpPr txBox="1"/>
        </xdr:nvSpPr>
        <xdr:spPr>
          <a:xfrm>
            <a:off x="295216" y="19040043"/>
            <a:ext cx="2097350" cy="865119"/>
          </a:xfrm>
          <a:prstGeom prst="rect">
            <a:avLst/>
          </a:prstGeom>
          <a:ln/>
        </xdr:spPr>
        <xdr:style>
          <a:lnRef idx="1">
            <a:schemeClr val="accent2"/>
          </a:lnRef>
          <a:fillRef idx="3">
            <a:schemeClr val="accent2"/>
          </a:fillRef>
          <a:effectRef idx="2">
            <a:schemeClr val="accent2"/>
          </a:effectRef>
          <a:fontRef idx="minor">
            <a:schemeClr val="lt1"/>
          </a:fontRef>
        </xdr:style>
        <xdr:txBody>
          <a:bodyPr vertOverflow="clip" horzOverflow="clip" wrap="square" lIns="0" tIns="0" rIns="0" bIns="0" rtlCol="0" anchor="ctr"/>
          <a:lstStyle/>
          <a:p>
            <a:pPr marL="0" indent="0" algn="ctr"/>
            <a:r>
              <a:rPr lang="de-DE" sz="1100" b="1" baseline="0">
                <a:solidFill>
                  <a:schemeClr val="lt1"/>
                </a:solidFill>
                <a:latin typeface="+mn-lt"/>
                <a:ea typeface="+mn-ea"/>
                <a:cs typeface="+mn-cs"/>
              </a:rPr>
              <a:t>Step 2</a:t>
            </a:r>
          </a:p>
          <a:p>
            <a:pPr marL="0" indent="0" algn="ctr"/>
            <a:r>
              <a:rPr lang="de-DE" sz="1100" baseline="0">
                <a:solidFill>
                  <a:schemeClr val="lt1"/>
                </a:solidFill>
                <a:latin typeface="+mn-lt"/>
                <a:ea typeface="+mn-ea"/>
                <a:cs typeface="+mn-cs"/>
              </a:rPr>
              <a:t>Inform the CSN Service</a:t>
            </a:r>
          </a:p>
        </xdr:txBody>
      </xdr:sp>
      <xdr:sp macro="" textlink="">
        <xdr:nvSpPr>
          <xdr:cNvPr id="25" name="Textfeld 24">
            <a:extLst>
              <a:ext uri="{FF2B5EF4-FFF2-40B4-BE49-F238E27FC236}">
                <a16:creationId xmlns:a16="http://schemas.microsoft.com/office/drawing/2014/main" id="{47763A45-35B8-47C7-AA3B-0CB108768A32}"/>
              </a:ext>
            </a:extLst>
          </xdr:cNvPr>
          <xdr:cNvSpPr txBox="1"/>
        </xdr:nvSpPr>
        <xdr:spPr>
          <a:xfrm>
            <a:off x="3509137" y="18027877"/>
            <a:ext cx="11992535" cy="519952"/>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aseline="0">
                <a:solidFill>
                  <a:schemeClr val="bg1"/>
                </a:solidFill>
                <a:latin typeface="+mn-lt"/>
                <a:ea typeface="+mn-ea"/>
                <a:cs typeface="+mn-cs"/>
              </a:rPr>
              <a:t>- Coordinate the further procedure with your contact of the cooperating VW Group department.</a:t>
            </a:r>
          </a:p>
        </xdr:txBody>
      </xdr:sp>
    </xdr:grpSp>
    <xdr:clientData/>
  </xdr:twoCellAnchor>
  <xdr:twoCellAnchor>
    <xdr:from>
      <xdr:col>1</xdr:col>
      <xdr:colOff>1023584</xdr:colOff>
      <xdr:row>9</xdr:row>
      <xdr:rowOff>88677</xdr:rowOff>
    </xdr:from>
    <xdr:to>
      <xdr:col>12</xdr:col>
      <xdr:colOff>552252</xdr:colOff>
      <xdr:row>25</xdr:row>
      <xdr:rowOff>190287</xdr:rowOff>
    </xdr:to>
    <xdr:sp macro="" textlink="">
      <xdr:nvSpPr>
        <xdr:cNvPr id="26" name="Rechteck 25">
          <a:extLst>
            <a:ext uri="{FF2B5EF4-FFF2-40B4-BE49-F238E27FC236}">
              <a16:creationId xmlns:a16="http://schemas.microsoft.com/office/drawing/2014/main" id="{F292BF58-761A-4EB1-96A1-867936986239}"/>
            </a:ext>
          </a:extLst>
        </xdr:cNvPr>
        <xdr:cNvSpPr/>
      </xdr:nvSpPr>
      <xdr:spPr>
        <a:xfrm>
          <a:off x="1175984" y="3546252"/>
          <a:ext cx="14940118" cy="4606935"/>
        </a:xfrm>
        <a:prstGeom prst="rect">
          <a:avLst/>
        </a:prstGeom>
        <a:solidFill>
          <a:schemeClr val="accent1">
            <a:lumMod val="20000"/>
            <a:lumOff val="8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1192798</xdr:colOff>
      <xdr:row>18</xdr:row>
      <xdr:rowOff>187253</xdr:rowOff>
    </xdr:from>
    <xdr:to>
      <xdr:col>4</xdr:col>
      <xdr:colOff>342901</xdr:colOff>
      <xdr:row>25</xdr:row>
      <xdr:rowOff>37767</xdr:rowOff>
    </xdr:to>
    <xdr:sp macro="" textlink="">
      <xdr:nvSpPr>
        <xdr:cNvPr id="27" name="Textfeld 26">
          <a:extLst>
            <a:ext uri="{FF2B5EF4-FFF2-40B4-BE49-F238E27FC236}">
              <a16:creationId xmlns:a16="http://schemas.microsoft.com/office/drawing/2014/main" id="{24401F2D-0B09-4883-945E-1D1BEF23EA3D}"/>
            </a:ext>
          </a:extLst>
        </xdr:cNvPr>
        <xdr:cNvSpPr txBox="1"/>
      </xdr:nvSpPr>
      <xdr:spPr>
        <a:xfrm>
          <a:off x="1345198" y="6816653"/>
          <a:ext cx="5827128" cy="1184014"/>
        </a:xfrm>
        <a:prstGeom prst="rect">
          <a:avLst/>
        </a:prstGeom>
        <a:solidFill>
          <a:schemeClr val="accent1">
            <a:lumMod val="60000"/>
            <a:lumOff val="4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72000" rIns="72000" bIns="72000" rtlCol="0" anchor="ctr"/>
        <a:lstStyle/>
        <a:p>
          <a:pPr marL="0" indent="0" algn="ctr"/>
          <a:r>
            <a:rPr lang="de-DE" sz="1100" b="1" baseline="0">
              <a:solidFill>
                <a:schemeClr val="tx1">
                  <a:lumMod val="65000"/>
                  <a:lumOff val="35000"/>
                </a:schemeClr>
              </a:solidFill>
              <a:latin typeface="+mn-lt"/>
              <a:ea typeface="+mn-ea"/>
              <a:cs typeface="+mn-cs"/>
            </a:rPr>
            <a:t>TISAX®  assessment levels / assessment levels</a:t>
          </a:r>
        </a:p>
        <a:p>
          <a:pPr marL="0" indent="0" algn="ctr"/>
          <a:endParaRPr lang="de-DE" sz="1100" baseline="0">
            <a:solidFill>
              <a:schemeClr val="tx1">
                <a:lumMod val="65000"/>
                <a:lumOff val="35000"/>
              </a:schemeClr>
            </a:solidFill>
            <a:latin typeface="+mn-lt"/>
            <a:ea typeface="+mn-ea"/>
            <a:cs typeface="+mn-cs"/>
          </a:endParaRPr>
        </a:p>
        <a:p>
          <a:r>
            <a:rPr lang="de-DE" sz="1100" b="0" baseline="0">
              <a:solidFill>
                <a:schemeClr val="tx1">
                  <a:lumMod val="65000"/>
                  <a:lumOff val="35000"/>
                </a:schemeClr>
              </a:solidFill>
              <a:latin typeface="+mn-lt"/>
              <a:ea typeface="+mn-ea"/>
              <a:cs typeface="+mn-cs"/>
            </a:rPr>
            <a:t>TISAX®  labels are the statement that your information security management system fulfils a defined set of requirements. If you pass the TISAX assessment you receive the corresponding “TISAX labels”. For cooperation with Volkswagen Group assessment level 2 or 3 has to be proved.</a:t>
          </a:r>
        </a:p>
      </xdr:txBody>
    </xdr:sp>
    <xdr:clientData/>
  </xdr:twoCellAnchor>
  <xdr:twoCellAnchor>
    <xdr:from>
      <xdr:col>3</xdr:col>
      <xdr:colOff>385833</xdr:colOff>
      <xdr:row>9</xdr:row>
      <xdr:rowOff>192661</xdr:rowOff>
    </xdr:from>
    <xdr:to>
      <xdr:col>12</xdr:col>
      <xdr:colOff>336247</xdr:colOff>
      <xdr:row>9</xdr:row>
      <xdr:rowOff>866204</xdr:rowOff>
    </xdr:to>
    <xdr:sp macro="" textlink="">
      <xdr:nvSpPr>
        <xdr:cNvPr id="28" name="Textfeld 27">
          <a:extLst>
            <a:ext uri="{FF2B5EF4-FFF2-40B4-BE49-F238E27FC236}">
              <a16:creationId xmlns:a16="http://schemas.microsoft.com/office/drawing/2014/main" id="{1952FDBB-3EA1-4CFF-83C5-BEF1C35DB832}"/>
            </a:ext>
          </a:extLst>
        </xdr:cNvPr>
        <xdr:cNvSpPr txBox="1"/>
      </xdr:nvSpPr>
      <xdr:spPr>
        <a:xfrm>
          <a:off x="4843533" y="3650236"/>
          <a:ext cx="11056564" cy="673543"/>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1" baseline="0">
              <a:solidFill>
                <a:schemeClr val="bg1"/>
              </a:solidFill>
              <a:latin typeface="+mn-lt"/>
              <a:ea typeface="+mn-ea"/>
              <a:cs typeface="+mn-cs"/>
            </a:rPr>
            <a:t>What´s TISAX®?</a:t>
          </a:r>
        </a:p>
        <a:p>
          <a:pPr marL="0" indent="0"/>
          <a:endParaRPr lang="de-DE" sz="1100" baseline="0">
            <a:solidFill>
              <a:schemeClr val="bg1"/>
            </a:solidFill>
            <a:latin typeface="+mn-lt"/>
            <a:ea typeface="+mn-ea"/>
            <a:cs typeface="+mn-cs"/>
          </a:endParaRPr>
        </a:p>
        <a:p>
          <a:pPr marL="0" indent="0"/>
          <a:r>
            <a:rPr lang="de-DE" sz="1100" baseline="0">
              <a:solidFill>
                <a:schemeClr val="bg1"/>
              </a:solidFill>
              <a:latin typeface="+mn-lt"/>
              <a:ea typeface="+mn-ea"/>
              <a:cs typeface="+mn-cs"/>
            </a:rPr>
            <a:t>The Trusted Information Security Assessment EXchange, short name TISAX®, is a standard for information security defined by the automotive industry.</a:t>
          </a:r>
        </a:p>
      </xdr:txBody>
    </xdr:sp>
    <xdr:clientData/>
  </xdr:twoCellAnchor>
  <xdr:twoCellAnchor>
    <xdr:from>
      <xdr:col>1</xdr:col>
      <xdr:colOff>1245016</xdr:colOff>
      <xdr:row>9</xdr:row>
      <xdr:rowOff>217641</xdr:rowOff>
    </xdr:from>
    <xdr:to>
      <xdr:col>3</xdr:col>
      <xdr:colOff>170443</xdr:colOff>
      <xdr:row>9</xdr:row>
      <xdr:rowOff>818787</xdr:rowOff>
    </xdr:to>
    <xdr:sp macro="" textlink="">
      <xdr:nvSpPr>
        <xdr:cNvPr id="29" name="Textfeld 28">
          <a:extLst>
            <a:ext uri="{FF2B5EF4-FFF2-40B4-BE49-F238E27FC236}">
              <a16:creationId xmlns:a16="http://schemas.microsoft.com/office/drawing/2014/main" id="{E65DEBE4-6D06-4EC8-86D8-300281A7E8E7}"/>
            </a:ext>
          </a:extLst>
        </xdr:cNvPr>
        <xdr:cNvSpPr txBox="1"/>
      </xdr:nvSpPr>
      <xdr:spPr>
        <a:xfrm>
          <a:off x="1397416" y="3675216"/>
          <a:ext cx="3230727" cy="601146"/>
        </a:xfrm>
        <a:prstGeom prst="rect">
          <a:avLst/>
        </a:prstGeom>
        <a:solidFill>
          <a:schemeClr val="tx2">
            <a:lumMod val="7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0" tIns="0" rIns="0" bIns="0" rtlCol="0" anchor="ctr"/>
        <a:lstStyle/>
        <a:p>
          <a:pPr marL="0" indent="0" algn="ctr"/>
          <a:r>
            <a:rPr lang="de-DE" sz="1300" b="1" baseline="0">
              <a:solidFill>
                <a:schemeClr val="bg1"/>
              </a:solidFill>
              <a:latin typeface="Arial" panose="020B0604020202020204" pitchFamily="34" charset="0"/>
              <a:ea typeface="+mn-ea"/>
              <a:cs typeface="Arial" panose="020B0604020202020204" pitchFamily="34" charset="0"/>
            </a:rPr>
            <a:t>The TISAX® label in the cooperation</a:t>
          </a:r>
        </a:p>
        <a:p>
          <a:pPr marL="0" indent="0" algn="ctr"/>
          <a:r>
            <a:rPr lang="de-DE" sz="1300" b="1" baseline="0">
              <a:solidFill>
                <a:schemeClr val="bg1"/>
              </a:solidFill>
              <a:latin typeface="Arial" panose="020B0604020202020204" pitchFamily="34" charset="0"/>
              <a:ea typeface="+mn-ea"/>
              <a:cs typeface="Arial" panose="020B0604020202020204" pitchFamily="34" charset="0"/>
            </a:rPr>
            <a:t> with Volkswagen Group</a:t>
          </a:r>
        </a:p>
      </xdr:txBody>
    </xdr:sp>
    <xdr:clientData/>
  </xdr:twoCellAnchor>
  <xdr:twoCellAnchor>
    <xdr:from>
      <xdr:col>5</xdr:col>
      <xdr:colOff>497233</xdr:colOff>
      <xdr:row>19</xdr:row>
      <xdr:rowOff>28148</xdr:rowOff>
    </xdr:from>
    <xdr:to>
      <xdr:col>6</xdr:col>
      <xdr:colOff>987789</xdr:colOff>
      <xdr:row>23</xdr:row>
      <xdr:rowOff>126233</xdr:rowOff>
    </xdr:to>
    <xdr:sp macro="" textlink="">
      <xdr:nvSpPr>
        <xdr:cNvPr id="31" name="Textfeld 30">
          <a:extLst>
            <a:ext uri="{FF2B5EF4-FFF2-40B4-BE49-F238E27FC236}">
              <a16:creationId xmlns:a16="http://schemas.microsoft.com/office/drawing/2014/main" id="{D0743D45-CD3F-4C08-8B5C-60314AF02199}"/>
            </a:ext>
          </a:extLst>
        </xdr:cNvPr>
        <xdr:cNvSpPr txBox="1"/>
      </xdr:nvSpPr>
      <xdr:spPr>
        <a:xfrm>
          <a:off x="7983883" y="6848048"/>
          <a:ext cx="1805006" cy="860085"/>
        </a:xfrm>
        <a:prstGeom prst="rect">
          <a:avLst/>
        </a:prstGeom>
        <a:solidFill>
          <a:schemeClr val="accent1">
            <a:lumMod val="60000"/>
            <a:lumOff val="4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0" tIns="0" rIns="0" bIns="0" rtlCol="0" anchor="ctr"/>
        <a:lstStyle/>
        <a:p>
          <a:pPr algn="ctr"/>
          <a:r>
            <a:rPr lang="de-DE" sz="1100" b="1" baseline="0">
              <a:solidFill>
                <a:schemeClr val="tx1">
                  <a:lumMod val="65000"/>
                  <a:lumOff val="35000"/>
                </a:schemeClr>
              </a:solidFill>
              <a:latin typeface="+mn-lt"/>
              <a:ea typeface="+mn-ea"/>
              <a:cs typeface="+mn-cs"/>
            </a:rPr>
            <a:t>assessment level 2 (AL 2)</a:t>
          </a:r>
        </a:p>
        <a:p>
          <a:pPr marL="0" indent="0" algn="ctr"/>
          <a:r>
            <a:rPr lang="de-DE" sz="1100" b="1" baseline="0">
              <a:solidFill>
                <a:schemeClr val="tx1">
                  <a:lumMod val="65000"/>
                  <a:lumOff val="35000"/>
                </a:schemeClr>
              </a:solidFill>
              <a:latin typeface="+mn-lt"/>
              <a:ea typeface="+mn-ea"/>
              <a:cs typeface="+mn-cs"/>
            </a:rPr>
            <a:t>high protection needs</a:t>
          </a:r>
        </a:p>
      </xdr:txBody>
    </xdr:sp>
    <xdr:clientData/>
  </xdr:twoCellAnchor>
  <xdr:twoCellAnchor>
    <xdr:from>
      <xdr:col>6</xdr:col>
      <xdr:colOff>965625</xdr:colOff>
      <xdr:row>20</xdr:row>
      <xdr:rowOff>132314</xdr:rowOff>
    </xdr:from>
    <xdr:to>
      <xdr:col>8</xdr:col>
      <xdr:colOff>935560</xdr:colOff>
      <xdr:row>25</xdr:row>
      <xdr:rowOff>39899</xdr:rowOff>
    </xdr:to>
    <xdr:sp macro="" textlink="">
      <xdr:nvSpPr>
        <xdr:cNvPr id="32" name="Textfeld 31">
          <a:extLst>
            <a:ext uri="{FF2B5EF4-FFF2-40B4-BE49-F238E27FC236}">
              <a16:creationId xmlns:a16="http://schemas.microsoft.com/office/drawing/2014/main" id="{3E6B5E69-D9D8-49FF-AE11-CEC5A359CC97}"/>
            </a:ext>
          </a:extLst>
        </xdr:cNvPr>
        <xdr:cNvSpPr txBox="1"/>
      </xdr:nvSpPr>
      <xdr:spPr>
        <a:xfrm>
          <a:off x="9766725" y="7142714"/>
          <a:ext cx="1798735" cy="860085"/>
        </a:xfrm>
        <a:prstGeom prst="rect">
          <a:avLst/>
        </a:prstGeom>
        <a:solidFill>
          <a:schemeClr val="accent1">
            <a:lumMod val="60000"/>
            <a:lumOff val="40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de-DE" sz="1100" b="1" baseline="0">
              <a:solidFill>
                <a:schemeClr val="tx1">
                  <a:lumMod val="65000"/>
                  <a:lumOff val="35000"/>
                </a:schemeClr>
              </a:solidFill>
              <a:latin typeface="+mn-lt"/>
              <a:ea typeface="+mn-ea"/>
              <a:cs typeface="+mn-cs"/>
            </a:rPr>
            <a:t>assessment level 3 (AL 3)</a:t>
          </a:r>
        </a:p>
        <a:p>
          <a:pPr marL="0" indent="0" algn="ctr"/>
          <a:r>
            <a:rPr lang="de-DE" sz="1100" b="1" baseline="0">
              <a:solidFill>
                <a:schemeClr val="tx1">
                  <a:lumMod val="65000"/>
                  <a:lumOff val="35000"/>
                </a:schemeClr>
              </a:solidFill>
              <a:latin typeface="+mn-lt"/>
              <a:ea typeface="+mn-ea"/>
              <a:cs typeface="+mn-cs"/>
            </a:rPr>
            <a:t>very high protection needs</a:t>
          </a:r>
        </a:p>
      </xdr:txBody>
    </xdr:sp>
    <xdr:clientData/>
  </xdr:twoCellAnchor>
  <xdr:twoCellAnchor>
    <xdr:from>
      <xdr:col>8</xdr:col>
      <xdr:colOff>1760352</xdr:colOff>
      <xdr:row>9</xdr:row>
      <xdr:rowOff>1000219</xdr:rowOff>
    </xdr:from>
    <xdr:to>
      <xdr:col>12</xdr:col>
      <xdr:colOff>358112</xdr:colOff>
      <xdr:row>18</xdr:row>
      <xdr:rowOff>52148</xdr:rowOff>
    </xdr:to>
    <xdr:sp macro="" textlink="">
      <xdr:nvSpPr>
        <xdr:cNvPr id="33" name="Textfeld 32">
          <a:extLst>
            <a:ext uri="{FF2B5EF4-FFF2-40B4-BE49-F238E27FC236}">
              <a16:creationId xmlns:a16="http://schemas.microsoft.com/office/drawing/2014/main" id="{A5175948-DC8A-4946-945E-06E61EDF1353}"/>
            </a:ext>
          </a:extLst>
        </xdr:cNvPr>
        <xdr:cNvSpPr txBox="1"/>
      </xdr:nvSpPr>
      <xdr:spPr>
        <a:xfrm>
          <a:off x="12390252" y="4457794"/>
          <a:ext cx="3531710" cy="2223754"/>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pPr marL="0" indent="0"/>
          <a:r>
            <a:rPr lang="de-DE" sz="1100" b="1" baseline="0">
              <a:solidFill>
                <a:schemeClr val="bg1"/>
              </a:solidFill>
              <a:latin typeface="+mn-lt"/>
              <a:ea typeface="+mn-ea"/>
              <a:cs typeface="+mn-cs"/>
            </a:rPr>
            <a:t>What is the validity period of a </a:t>
          </a:r>
          <a:r>
            <a:rPr lang="de-DE" sz="1100" b="1" baseline="0">
              <a:solidFill>
                <a:schemeClr val="lt1"/>
              </a:solidFill>
              <a:effectLst/>
              <a:latin typeface="+mn-lt"/>
              <a:ea typeface="+mn-ea"/>
              <a:cs typeface="+mn-cs"/>
            </a:rPr>
            <a:t>TISAX® </a:t>
          </a:r>
          <a:r>
            <a:rPr lang="de-DE" sz="1100" b="1" baseline="0">
              <a:solidFill>
                <a:schemeClr val="bg1"/>
              </a:solidFill>
              <a:latin typeface="+mn-lt"/>
              <a:ea typeface="+mn-ea"/>
              <a:cs typeface="+mn-cs"/>
            </a:rPr>
            <a:t> Label?</a:t>
          </a:r>
        </a:p>
        <a:p>
          <a:pPr marL="0" indent="0"/>
          <a:endParaRPr lang="de-DE" sz="1100" b="0" baseline="0">
            <a:solidFill>
              <a:schemeClr val="bg1"/>
            </a:solidFill>
            <a:latin typeface="+mn-lt"/>
            <a:ea typeface="+mn-ea"/>
            <a:cs typeface="+mn-cs"/>
          </a:endParaRPr>
        </a:p>
        <a:p>
          <a:pPr marL="0" indent="0"/>
          <a:r>
            <a:rPr lang="de-DE" sz="1100" b="0" baseline="0">
              <a:solidFill>
                <a:schemeClr val="bg1"/>
              </a:solidFill>
              <a:latin typeface="+mn-lt"/>
              <a:ea typeface="+mn-ea"/>
              <a:cs typeface="+mn-cs"/>
            </a:rPr>
            <a:t>The validity period  of the TISAX label is 3 years, </a:t>
          </a:r>
          <a:r>
            <a:rPr lang="de-DE" sz="1100" b="0" baseline="0">
              <a:solidFill>
                <a:schemeClr val="lt1"/>
              </a:solidFill>
              <a:effectLst/>
              <a:latin typeface="+mn-lt"/>
              <a:ea typeface="+mn-ea"/>
              <a:cs typeface="+mn-cs"/>
            </a:rPr>
            <a:t>starting with the closing meeting.</a:t>
          </a:r>
          <a:endParaRPr lang="de-DE" sz="1100" b="0" baseline="0">
            <a:solidFill>
              <a:schemeClr val="bg1"/>
            </a:solidFill>
            <a:latin typeface="+mn-lt"/>
            <a:ea typeface="+mn-ea"/>
            <a:cs typeface="+mn-cs"/>
          </a:endParaRPr>
        </a:p>
      </xdr:txBody>
    </xdr:sp>
    <xdr:clientData/>
  </xdr:twoCellAnchor>
  <xdr:twoCellAnchor>
    <xdr:from>
      <xdr:col>3</xdr:col>
      <xdr:colOff>376424</xdr:colOff>
      <xdr:row>9</xdr:row>
      <xdr:rowOff>1030678</xdr:rowOff>
    </xdr:from>
    <xdr:to>
      <xdr:col>5</xdr:col>
      <xdr:colOff>1137596</xdr:colOff>
      <xdr:row>18</xdr:row>
      <xdr:rowOff>28692</xdr:rowOff>
    </xdr:to>
    <xdr:sp macro="" textlink="">
      <xdr:nvSpPr>
        <xdr:cNvPr id="34" name="Textfeld 33">
          <a:extLst>
            <a:ext uri="{FF2B5EF4-FFF2-40B4-BE49-F238E27FC236}">
              <a16:creationId xmlns:a16="http://schemas.microsoft.com/office/drawing/2014/main" id="{3FF3394C-8758-4692-9763-2CFEA2B3141A}"/>
            </a:ext>
          </a:extLst>
        </xdr:cNvPr>
        <xdr:cNvSpPr txBox="1"/>
      </xdr:nvSpPr>
      <xdr:spPr>
        <a:xfrm>
          <a:off x="4834124" y="4488253"/>
          <a:ext cx="3790122" cy="2169839"/>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r>
            <a:rPr lang="de-DE" sz="1100" b="1" baseline="0">
              <a:solidFill>
                <a:schemeClr val="bg1"/>
              </a:solidFill>
              <a:latin typeface="+mn-lt"/>
              <a:ea typeface="+mn-ea"/>
              <a:cs typeface="+mn-cs"/>
            </a:rPr>
            <a:t>Why has to be proven a valid </a:t>
          </a:r>
          <a:r>
            <a:rPr lang="de-DE" sz="1100" b="1" baseline="0">
              <a:solidFill>
                <a:schemeClr val="lt1"/>
              </a:solidFill>
              <a:effectLst/>
              <a:latin typeface="+mn-lt"/>
              <a:ea typeface="+mn-ea"/>
              <a:cs typeface="+mn-cs"/>
            </a:rPr>
            <a:t>TISAX® label for usage of CSN services?</a:t>
          </a:r>
          <a:endParaRPr lang="de-DE" sz="1100" b="1" baseline="0">
            <a:solidFill>
              <a:schemeClr val="bg1"/>
            </a:solidFill>
            <a:latin typeface="+mn-lt"/>
            <a:ea typeface="+mn-ea"/>
            <a:cs typeface="+mn-cs"/>
          </a:endParaRPr>
        </a:p>
        <a:p>
          <a:r>
            <a:rPr lang="de-DE" sz="1100" b="1" baseline="0">
              <a:solidFill>
                <a:schemeClr val="bg1"/>
              </a:solidFill>
              <a:latin typeface="+mn-lt"/>
              <a:ea typeface="+mn-ea"/>
              <a:cs typeface="+mn-cs"/>
            </a:rPr>
            <a:t> </a:t>
          </a:r>
        </a:p>
        <a:p>
          <a:r>
            <a:rPr lang="de-DE" sz="1100" baseline="0">
              <a:solidFill>
                <a:schemeClr val="lt1"/>
              </a:solidFill>
              <a:effectLst/>
              <a:latin typeface="+mn-lt"/>
              <a:ea typeface="+mn-ea"/>
              <a:cs typeface="+mn-cs"/>
            </a:rPr>
            <a:t>Before passing on sensitive information to partners, they are obliged to provide evidence of the protection of the information. The valid and sufficient TISAX® label is accepted as proof of compliance with the information protection requirements.</a:t>
          </a:r>
        </a:p>
        <a:p>
          <a:r>
            <a:rPr lang="de-DE" sz="1100" baseline="0">
              <a:solidFill>
                <a:schemeClr val="lt1"/>
              </a:solidFill>
              <a:effectLst/>
              <a:latin typeface="+mn-lt"/>
              <a:ea typeface="+mn-ea"/>
              <a:cs typeface="+mn-cs"/>
            </a:rPr>
            <a:t>Proof of the valid TISAX® label must be provided before the technical connection implementation to the partner networks of Volkswagen and/or Audi can be started.</a:t>
          </a:r>
          <a:endParaRPr lang="de-DE" sz="1100" baseline="0">
            <a:solidFill>
              <a:schemeClr val="bg1"/>
            </a:solidFill>
            <a:latin typeface="+mn-lt"/>
            <a:ea typeface="+mn-ea"/>
            <a:cs typeface="+mn-cs"/>
          </a:endParaRPr>
        </a:p>
      </xdr:txBody>
    </xdr:sp>
    <xdr:clientData/>
  </xdr:twoCellAnchor>
  <xdr:twoCellAnchor>
    <xdr:from>
      <xdr:col>5</xdr:col>
      <xdr:colOff>1281480</xdr:colOff>
      <xdr:row>9</xdr:row>
      <xdr:rowOff>1019176</xdr:rowOff>
    </xdr:from>
    <xdr:to>
      <xdr:col>8</xdr:col>
      <xdr:colOff>1571318</xdr:colOff>
      <xdr:row>18</xdr:row>
      <xdr:rowOff>32133</xdr:rowOff>
    </xdr:to>
    <xdr:sp macro="" textlink="">
      <xdr:nvSpPr>
        <xdr:cNvPr id="35" name="Textfeld 34">
          <a:extLst>
            <a:ext uri="{FF2B5EF4-FFF2-40B4-BE49-F238E27FC236}">
              <a16:creationId xmlns:a16="http://schemas.microsoft.com/office/drawing/2014/main" id="{4D733657-CC25-421C-9E81-614DFBC6EE0E}"/>
            </a:ext>
          </a:extLst>
        </xdr:cNvPr>
        <xdr:cNvSpPr txBox="1"/>
      </xdr:nvSpPr>
      <xdr:spPr>
        <a:xfrm>
          <a:off x="8768130" y="4476751"/>
          <a:ext cx="3433088" cy="2184782"/>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r>
            <a:rPr lang="de-DE" sz="1100" b="1" baseline="0">
              <a:solidFill>
                <a:schemeClr val="bg1"/>
              </a:solidFill>
              <a:latin typeface="+mn-lt"/>
              <a:ea typeface="+mn-ea"/>
              <a:cs typeface="+mn-cs"/>
            </a:rPr>
            <a:t>Is the proof of </a:t>
          </a:r>
          <a:r>
            <a:rPr lang="de-DE" sz="1100" b="0" baseline="0">
              <a:solidFill>
                <a:schemeClr val="bg1"/>
              </a:solidFill>
              <a:latin typeface="+mn-lt"/>
              <a:ea typeface="+mn-ea"/>
              <a:cs typeface="+mn-cs"/>
            </a:rPr>
            <a:t>"</a:t>
          </a:r>
          <a:r>
            <a:rPr lang="de-DE" sz="1100" b="1" baseline="0">
              <a:solidFill>
                <a:schemeClr val="bg1"/>
              </a:solidFill>
              <a:latin typeface="+mn-lt"/>
              <a:ea typeface="+mn-ea"/>
              <a:cs typeface="+mn-cs"/>
            </a:rPr>
            <a:t>one</a:t>
          </a:r>
          <a:r>
            <a:rPr lang="de-DE" sz="1100" b="0" baseline="0">
              <a:solidFill>
                <a:schemeClr val="bg1"/>
              </a:solidFill>
              <a:latin typeface="+mn-lt"/>
              <a:ea typeface="+mn-ea"/>
              <a:cs typeface="+mn-cs"/>
            </a:rPr>
            <a:t>"</a:t>
          </a:r>
          <a:r>
            <a:rPr lang="de-DE" sz="1100" b="1" baseline="0">
              <a:solidFill>
                <a:schemeClr val="bg1"/>
              </a:solidFill>
              <a:latin typeface="+mn-lt"/>
              <a:ea typeface="+mn-ea"/>
              <a:cs typeface="+mn-cs"/>
            </a:rPr>
            <a:t> </a:t>
          </a:r>
          <a:r>
            <a:rPr lang="de-DE" sz="1100" b="1" baseline="0">
              <a:solidFill>
                <a:schemeClr val="lt1"/>
              </a:solidFill>
              <a:effectLst/>
              <a:latin typeface="+mn-lt"/>
              <a:ea typeface="+mn-ea"/>
              <a:cs typeface="+mn-cs"/>
            </a:rPr>
            <a:t>TISAX® l</a:t>
          </a:r>
          <a:r>
            <a:rPr lang="de-DE" sz="1100" b="1" baseline="0">
              <a:solidFill>
                <a:schemeClr val="bg1"/>
              </a:solidFill>
              <a:latin typeface="+mn-lt"/>
              <a:ea typeface="+mn-ea"/>
              <a:cs typeface="+mn-cs"/>
            </a:rPr>
            <a:t>abel enough for the whole company?  (e.g. of the contractor)</a:t>
          </a:r>
        </a:p>
        <a:p>
          <a:endParaRPr lang="de-DE" sz="1100" b="1" baseline="0">
            <a:solidFill>
              <a:schemeClr val="bg1"/>
            </a:solidFill>
            <a:latin typeface="+mn-lt"/>
            <a:ea typeface="+mn-ea"/>
            <a:cs typeface="+mn-cs"/>
          </a:endParaRPr>
        </a:p>
        <a:p>
          <a:r>
            <a:rPr lang="de-DE" sz="1100" baseline="0">
              <a:solidFill>
                <a:schemeClr val="lt1"/>
              </a:solidFill>
              <a:effectLst/>
              <a:latin typeface="+mn-lt"/>
              <a:ea typeface="+mn-ea"/>
              <a:cs typeface="+mn-cs"/>
            </a:rPr>
            <a:t>No, it´s not.</a:t>
          </a:r>
        </a:p>
        <a:p>
          <a:pPr rtl="0"/>
          <a:r>
            <a:rPr lang="en-GB" sz="1100" b="0" i="0" u="none" strike="noStrike" baseline="0">
              <a:solidFill>
                <a:schemeClr val="lt1"/>
              </a:solidFill>
              <a:latin typeface="+mn-lt"/>
              <a:ea typeface="+mn-ea"/>
              <a:cs typeface="+mn-cs"/>
            </a:rPr>
            <a:t>The proof of appropriate information security by a TISAX® assessment is a precondition for the technical connection to the Volkswagen partner company network for all locations of the company with service- &amp; data access. </a:t>
          </a:r>
          <a:r>
            <a:rPr lang="de-DE"/>
            <a:t>This regulation also includes locations which are</a:t>
          </a:r>
          <a:r>
            <a:rPr lang="en-GB" sz="1100" b="0" i="0" u="none" strike="noStrike" baseline="0">
              <a:solidFill>
                <a:schemeClr val="lt1"/>
              </a:solidFill>
              <a:latin typeface="+mn-lt"/>
              <a:ea typeface="+mn-ea"/>
              <a:cs typeface="+mn-cs"/>
            </a:rPr>
            <a:t> connected by company-internal routing.</a:t>
          </a:r>
          <a:endParaRPr lang="de-DE" sz="1100" b="0" i="0" u="none" strike="noStrike" baseline="0">
            <a:solidFill>
              <a:schemeClr val="lt1"/>
            </a:solidFill>
            <a:latin typeface="+mn-lt"/>
            <a:ea typeface="+mn-ea"/>
            <a:cs typeface="+mn-cs"/>
          </a:endParaRPr>
        </a:p>
      </xdr:txBody>
    </xdr:sp>
    <xdr:clientData/>
  </xdr:twoCellAnchor>
  <xdr:twoCellAnchor>
    <xdr:from>
      <xdr:col>1</xdr:col>
      <xdr:colOff>43869</xdr:colOff>
      <xdr:row>9</xdr:row>
      <xdr:rowOff>72673</xdr:rowOff>
    </xdr:from>
    <xdr:to>
      <xdr:col>1</xdr:col>
      <xdr:colOff>1034053</xdr:colOff>
      <xdr:row>26</xdr:row>
      <xdr:rowOff>23247</xdr:rowOff>
    </xdr:to>
    <xdr:sp macro="" textlink="">
      <xdr:nvSpPr>
        <xdr:cNvPr id="36" name="Textfeld 35">
          <a:extLst>
            <a:ext uri="{FF2B5EF4-FFF2-40B4-BE49-F238E27FC236}">
              <a16:creationId xmlns:a16="http://schemas.microsoft.com/office/drawing/2014/main" id="{DD46CB4E-74E6-4EE6-B2F0-48B7DE1DD04B}"/>
            </a:ext>
          </a:extLst>
        </xdr:cNvPr>
        <xdr:cNvSpPr txBox="1"/>
      </xdr:nvSpPr>
      <xdr:spPr>
        <a:xfrm rot="16200000">
          <a:off x="-1631839" y="5358356"/>
          <a:ext cx="4646399" cy="990184"/>
        </a:xfrm>
        <a:prstGeom prst="rect">
          <a:avLst/>
        </a:prstGeom>
        <a:solidFill>
          <a:schemeClr val="tx2">
            <a:lumMod val="7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0" tIns="0" rIns="0" bIns="0" rtlCol="0" anchor="ctr"/>
        <a:lstStyle/>
        <a:p>
          <a:pPr marL="0" indent="0" algn="ctr"/>
          <a:r>
            <a:rPr lang="de-DE" sz="1400" b="0" baseline="0">
              <a:solidFill>
                <a:schemeClr val="bg1"/>
              </a:solidFill>
              <a:latin typeface="Arial" panose="020B0604020202020204" pitchFamily="34" charset="0"/>
              <a:ea typeface="+mn-ea"/>
              <a:cs typeface="Arial" panose="020B0604020202020204" pitchFamily="34" charset="0"/>
            </a:rPr>
            <a:t>The </a:t>
          </a:r>
          <a:r>
            <a:rPr lang="de-DE" sz="1400" b="0" baseline="0">
              <a:solidFill>
                <a:schemeClr val="lt1"/>
              </a:solidFill>
              <a:effectLst/>
              <a:latin typeface="Arial" panose="020B0604020202020204" pitchFamily="34" charset="0"/>
              <a:ea typeface="+mn-ea"/>
              <a:cs typeface="Arial" panose="020B0604020202020204" pitchFamily="34" charset="0"/>
            </a:rPr>
            <a:t>TISAX®</a:t>
          </a:r>
          <a:r>
            <a:rPr lang="de-DE" sz="1400" b="0" baseline="0">
              <a:solidFill>
                <a:schemeClr val="bg1"/>
              </a:solidFill>
              <a:latin typeface="Arial" panose="020B0604020202020204" pitchFamily="34" charset="0"/>
              <a:ea typeface="+mn-ea"/>
              <a:cs typeface="Arial" panose="020B0604020202020204" pitchFamily="34" charset="0"/>
            </a:rPr>
            <a:t> label in the cooperation </a:t>
          </a:r>
          <a:br>
            <a:rPr lang="de-DE" sz="1400" b="0" baseline="0">
              <a:solidFill>
                <a:schemeClr val="bg1"/>
              </a:solidFill>
              <a:latin typeface="Arial" panose="020B0604020202020204" pitchFamily="34" charset="0"/>
              <a:ea typeface="+mn-ea"/>
              <a:cs typeface="Arial" panose="020B0604020202020204" pitchFamily="34" charset="0"/>
            </a:rPr>
          </a:br>
          <a:r>
            <a:rPr lang="de-DE" sz="1400" b="0" baseline="0">
              <a:solidFill>
                <a:schemeClr val="bg1"/>
              </a:solidFill>
              <a:latin typeface="Arial" panose="020B0604020202020204" pitchFamily="34" charset="0"/>
              <a:ea typeface="+mn-ea"/>
              <a:cs typeface="Arial" panose="020B0604020202020204" pitchFamily="34" charset="0"/>
            </a:rPr>
            <a:t>with Volkswagen Group</a:t>
          </a:r>
        </a:p>
      </xdr:txBody>
    </xdr:sp>
    <xdr:clientData/>
  </xdr:twoCellAnchor>
  <xdr:twoCellAnchor>
    <xdr:from>
      <xdr:col>1</xdr:col>
      <xdr:colOff>62917</xdr:colOff>
      <xdr:row>31</xdr:row>
      <xdr:rowOff>113244</xdr:rowOff>
    </xdr:from>
    <xdr:to>
      <xdr:col>1</xdr:col>
      <xdr:colOff>1074283</xdr:colOff>
      <xdr:row>53</xdr:row>
      <xdr:rowOff>123945</xdr:rowOff>
    </xdr:to>
    <xdr:sp macro="" textlink="">
      <xdr:nvSpPr>
        <xdr:cNvPr id="37" name="Textfeld 36">
          <a:extLst>
            <a:ext uri="{FF2B5EF4-FFF2-40B4-BE49-F238E27FC236}">
              <a16:creationId xmlns:a16="http://schemas.microsoft.com/office/drawing/2014/main" id="{06583F7B-B3F1-4BEA-AD06-B8902EDAC259}"/>
            </a:ext>
          </a:extLst>
        </xdr:cNvPr>
        <xdr:cNvSpPr txBox="1"/>
      </xdr:nvSpPr>
      <xdr:spPr>
        <a:xfrm rot="16200000">
          <a:off x="-1379851" y="10814312"/>
          <a:ext cx="4201701" cy="1011366"/>
        </a:xfrm>
        <a:prstGeom prst="rect">
          <a:avLst/>
        </a:prstGeom>
        <a:ln/>
      </xdr:spPr>
      <xdr:style>
        <a:lnRef idx="0">
          <a:schemeClr val="accent6"/>
        </a:lnRef>
        <a:fillRef idx="3">
          <a:schemeClr val="accent6"/>
        </a:fillRef>
        <a:effectRef idx="3">
          <a:schemeClr val="accent6"/>
        </a:effectRef>
        <a:fontRef idx="minor">
          <a:schemeClr val="lt1"/>
        </a:fontRef>
      </xdr:style>
      <xdr:txBody>
        <a:bodyPr vertOverflow="clip" horzOverflow="clip" wrap="square" lIns="0" tIns="0" rIns="0" bIns="0" rtlCol="0" anchor="ctr"/>
        <a:lstStyle/>
        <a:p>
          <a:pPr algn="ctr"/>
          <a:r>
            <a:rPr lang="de-DE" sz="1400" baseline="0">
              <a:latin typeface="Arial" panose="020B0604020202020204" pitchFamily="34" charset="0"/>
              <a:cs typeface="Arial" panose="020B0604020202020204" pitchFamily="34" charset="0"/>
            </a:rPr>
            <a:t>Steps to reach the TISAX®  label</a:t>
          </a:r>
        </a:p>
      </xdr:txBody>
    </xdr:sp>
    <xdr:clientData/>
  </xdr:twoCellAnchor>
  <xdr:twoCellAnchor>
    <xdr:from>
      <xdr:col>1</xdr:col>
      <xdr:colOff>53387</xdr:colOff>
      <xdr:row>59</xdr:row>
      <xdr:rowOff>21099</xdr:rowOff>
    </xdr:from>
    <xdr:to>
      <xdr:col>1</xdr:col>
      <xdr:colOff>1075348</xdr:colOff>
      <xdr:row>71</xdr:row>
      <xdr:rowOff>174051</xdr:rowOff>
    </xdr:to>
    <xdr:sp macro="" textlink="">
      <xdr:nvSpPr>
        <xdr:cNvPr id="38" name="Textfeld 37">
          <a:extLst>
            <a:ext uri="{FF2B5EF4-FFF2-40B4-BE49-F238E27FC236}">
              <a16:creationId xmlns:a16="http://schemas.microsoft.com/office/drawing/2014/main" id="{08503F8F-223F-4B0C-B71C-DA3433DDB0CA}"/>
            </a:ext>
          </a:extLst>
        </xdr:cNvPr>
        <xdr:cNvSpPr txBox="1"/>
      </xdr:nvSpPr>
      <xdr:spPr>
        <a:xfrm rot="16200000">
          <a:off x="-502708" y="15169494"/>
          <a:ext cx="2438952" cy="102196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lIns="0" tIns="0" rIns="0" bIns="0" rtlCol="0" anchor="ctr"/>
        <a:lstStyle/>
        <a:p>
          <a:pPr algn="ctr"/>
          <a:r>
            <a:rPr lang="de-DE" sz="1400" baseline="0">
              <a:latin typeface="Arial" panose="020B0604020202020204" pitchFamily="34" charset="0"/>
              <a:cs typeface="Arial" panose="020B0604020202020204" pitchFamily="34" charset="0"/>
            </a:rPr>
            <a:t>No TISAX® label verifiable, but the CSN service has to</a:t>
          </a:r>
        </a:p>
        <a:p>
          <a:pPr algn="ctr"/>
          <a:r>
            <a:rPr lang="de-DE" sz="1400" baseline="0">
              <a:latin typeface="Arial" panose="020B0604020202020204" pitchFamily="34" charset="0"/>
              <a:cs typeface="Arial" panose="020B0604020202020204" pitchFamily="34" charset="0"/>
            </a:rPr>
            <a:t> be available in a short time?</a:t>
          </a:r>
        </a:p>
      </xdr:txBody>
    </xdr:sp>
    <xdr:clientData/>
  </xdr:twoCellAnchor>
  <xdr:twoCellAnchor>
    <xdr:from>
      <xdr:col>1</xdr:col>
      <xdr:colOff>51066</xdr:colOff>
      <xdr:row>57</xdr:row>
      <xdr:rowOff>28575</xdr:rowOff>
    </xdr:from>
    <xdr:to>
      <xdr:col>1</xdr:col>
      <xdr:colOff>380999</xdr:colOff>
      <xdr:row>58</xdr:row>
      <xdr:rowOff>112541</xdr:rowOff>
    </xdr:to>
    <xdr:sp macro="" textlink="">
      <xdr:nvSpPr>
        <xdr:cNvPr id="39" name="Pfeil: nach rechts 38">
          <a:hlinkClick xmlns:r="http://schemas.openxmlformats.org/officeDocument/2006/relationships" r:id="rId3"/>
          <a:extLst>
            <a:ext uri="{FF2B5EF4-FFF2-40B4-BE49-F238E27FC236}">
              <a16:creationId xmlns:a16="http://schemas.microsoft.com/office/drawing/2014/main" id="{29B404B7-6ECD-4A77-955A-5278E1D6E5BE}"/>
            </a:ext>
          </a:extLst>
        </xdr:cNvPr>
        <xdr:cNvSpPr/>
      </xdr:nvSpPr>
      <xdr:spPr>
        <a:xfrm rot="10800000">
          <a:off x="203466" y="14087475"/>
          <a:ext cx="329933" cy="274466"/>
        </a:xfrm>
        <a:prstGeom prst="rightArrow">
          <a:avLst/>
        </a:prstGeom>
        <a:solidFill>
          <a:schemeClr val="bg1">
            <a:lumMod val="75000"/>
          </a:schemeClr>
        </a:solidFill>
        <a:ln>
          <a:solidFill>
            <a:schemeClr val="bg1">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12</xdr:col>
      <xdr:colOff>123823</xdr:colOff>
      <xdr:row>0</xdr:row>
      <xdr:rowOff>219075</xdr:rowOff>
    </xdr:from>
    <xdr:to>
      <xdr:col>12</xdr:col>
      <xdr:colOff>1428748</xdr:colOff>
      <xdr:row>0</xdr:row>
      <xdr:rowOff>468409</xdr:rowOff>
    </xdr:to>
    <xdr:sp macro="" textlink="">
      <xdr:nvSpPr>
        <xdr:cNvPr id="49" name="Pfeil nach links 10">
          <a:hlinkClick xmlns:r="http://schemas.openxmlformats.org/officeDocument/2006/relationships" r:id="rId4"/>
          <a:extLst>
            <a:ext uri="{FF2B5EF4-FFF2-40B4-BE49-F238E27FC236}">
              <a16:creationId xmlns:a16="http://schemas.microsoft.com/office/drawing/2014/main" id="{F871432A-3F79-4D56-B8CD-234AA25CAD77}"/>
            </a:ext>
          </a:extLst>
        </xdr:cNvPr>
        <xdr:cNvSpPr/>
      </xdr:nvSpPr>
      <xdr:spPr>
        <a:xfrm flipH="1">
          <a:off x="15687673" y="219075"/>
          <a:ext cx="1304925" cy="249334"/>
        </a:xfrm>
        <a:prstGeom prst="leftArrow">
          <a:avLst>
            <a:gd name="adj1" fmla="val 65613"/>
            <a:gd name="adj2" fmla="val 48700"/>
          </a:avLst>
        </a:prstGeom>
        <a:solidFill>
          <a:schemeClr val="accent3">
            <a:lumMod val="7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900">
              <a:latin typeface="Tahoma" panose="020B0604030504040204" pitchFamily="34" charset="0"/>
              <a:ea typeface="Tahoma" panose="020B0604030504040204" pitchFamily="34" charset="0"/>
              <a:cs typeface="Tahoma" panose="020B0604030504040204" pitchFamily="34" charset="0"/>
            </a:rPr>
            <a:t>Summary</a:t>
          </a:r>
        </a:p>
      </xdr:txBody>
    </xdr:sp>
    <xdr:clientData/>
  </xdr:twoCellAnchor>
  <xdr:twoCellAnchor>
    <xdr:from>
      <xdr:col>0</xdr:col>
      <xdr:colOff>140970</xdr:colOff>
      <xdr:row>0</xdr:row>
      <xdr:rowOff>461506</xdr:rowOff>
    </xdr:from>
    <xdr:to>
      <xdr:col>2</xdr:col>
      <xdr:colOff>66675</xdr:colOff>
      <xdr:row>0</xdr:row>
      <xdr:rowOff>838200</xdr:rowOff>
    </xdr:to>
    <xdr:sp macro="" textlink="">
      <xdr:nvSpPr>
        <xdr:cNvPr id="51" name="Pfeil nach links 1">
          <a:hlinkClick xmlns:r="http://schemas.openxmlformats.org/officeDocument/2006/relationships" r:id="rId5"/>
          <a:extLst>
            <a:ext uri="{FF2B5EF4-FFF2-40B4-BE49-F238E27FC236}">
              <a16:creationId xmlns:a16="http://schemas.microsoft.com/office/drawing/2014/main" id="{472E6045-6761-42FA-AFF5-BE2BEE00EDF7}"/>
            </a:ext>
          </a:extLst>
        </xdr:cNvPr>
        <xdr:cNvSpPr/>
      </xdr:nvSpPr>
      <xdr:spPr>
        <a:xfrm>
          <a:off x="140970" y="461506"/>
          <a:ext cx="1878330" cy="376694"/>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solidFill>
                <a:schemeClr val="lt1"/>
              </a:solidFill>
              <a:effectLst/>
              <a:latin typeface="+mn-lt"/>
              <a:ea typeface="+mn-ea"/>
              <a:cs typeface="+mn-cs"/>
            </a:rPr>
            <a:t>back</a:t>
          </a:r>
          <a:r>
            <a:rPr lang="de-DE" sz="1000" baseline="0">
              <a:solidFill>
                <a:schemeClr val="lt1"/>
              </a:solidFill>
              <a:effectLst/>
              <a:latin typeface="+mn-lt"/>
              <a:ea typeface="+mn-ea"/>
              <a:cs typeface="+mn-cs"/>
            </a:rPr>
            <a:t> to status TISAX assessment</a:t>
          </a:r>
          <a:endParaRPr lang="de-DE" sz="1000">
            <a:solidFill>
              <a:schemeClr val="lt1"/>
            </a:solidFill>
            <a:effectLst/>
            <a:latin typeface="+mn-lt"/>
            <a:ea typeface="+mn-ea"/>
            <a:cs typeface="+mn-cs"/>
          </a:endParaRPr>
        </a:p>
      </xdr:txBody>
    </xdr:sp>
    <xdr:clientData/>
  </xdr:twoCellAnchor>
  <xdr:twoCellAnchor>
    <xdr:from>
      <xdr:col>1</xdr:col>
      <xdr:colOff>76200</xdr:colOff>
      <xdr:row>29</xdr:row>
      <xdr:rowOff>95250</xdr:rowOff>
    </xdr:from>
    <xdr:to>
      <xdr:col>1</xdr:col>
      <xdr:colOff>406133</xdr:colOff>
      <xdr:row>30</xdr:row>
      <xdr:rowOff>179216</xdr:rowOff>
    </xdr:to>
    <xdr:sp macro="" textlink="">
      <xdr:nvSpPr>
        <xdr:cNvPr id="58" name="Pfeil: nach rechts 57">
          <a:hlinkClick xmlns:r="http://schemas.openxmlformats.org/officeDocument/2006/relationships" r:id="rId3"/>
          <a:extLst>
            <a:ext uri="{FF2B5EF4-FFF2-40B4-BE49-F238E27FC236}">
              <a16:creationId xmlns:a16="http://schemas.microsoft.com/office/drawing/2014/main" id="{BB5F9A6C-333D-4921-905B-817F8F3A7F0C}"/>
            </a:ext>
          </a:extLst>
        </xdr:cNvPr>
        <xdr:cNvSpPr/>
      </xdr:nvSpPr>
      <xdr:spPr>
        <a:xfrm rot="10800000">
          <a:off x="228600" y="8820150"/>
          <a:ext cx="329933" cy="274466"/>
        </a:xfrm>
        <a:prstGeom prst="rightArrow">
          <a:avLst/>
        </a:prstGeom>
        <a:solidFill>
          <a:schemeClr val="bg1">
            <a:lumMod val="75000"/>
          </a:schemeClr>
        </a:solidFill>
        <a:ln>
          <a:solidFill>
            <a:schemeClr val="bg1">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1</xdr:col>
      <xdr:colOff>66675</xdr:colOff>
      <xdr:row>8</xdr:row>
      <xdr:rowOff>428625</xdr:rowOff>
    </xdr:from>
    <xdr:to>
      <xdr:col>1</xdr:col>
      <xdr:colOff>396608</xdr:colOff>
      <xdr:row>8</xdr:row>
      <xdr:rowOff>703091</xdr:rowOff>
    </xdr:to>
    <xdr:sp macro="" textlink="">
      <xdr:nvSpPr>
        <xdr:cNvPr id="59" name="Pfeil: nach rechts 58">
          <a:hlinkClick xmlns:r="http://schemas.openxmlformats.org/officeDocument/2006/relationships" r:id="rId3"/>
          <a:extLst>
            <a:ext uri="{FF2B5EF4-FFF2-40B4-BE49-F238E27FC236}">
              <a16:creationId xmlns:a16="http://schemas.microsoft.com/office/drawing/2014/main" id="{C141CC88-C356-4386-B812-A91EFE418860}"/>
            </a:ext>
          </a:extLst>
        </xdr:cNvPr>
        <xdr:cNvSpPr/>
      </xdr:nvSpPr>
      <xdr:spPr>
        <a:xfrm rot="10800000">
          <a:off x="219075" y="3162300"/>
          <a:ext cx="329933" cy="274466"/>
        </a:xfrm>
        <a:prstGeom prst="rightArrow">
          <a:avLst/>
        </a:prstGeom>
        <a:solidFill>
          <a:schemeClr val="bg1">
            <a:lumMod val="75000"/>
          </a:schemeClr>
        </a:solidFill>
        <a:ln>
          <a:solidFill>
            <a:schemeClr val="bg1">
              <a:lumMod val="75000"/>
            </a:schemeClr>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1</xdr:col>
      <xdr:colOff>1190625</xdr:colOff>
      <xdr:row>9</xdr:row>
      <xdr:rowOff>1019175</xdr:rowOff>
    </xdr:from>
    <xdr:to>
      <xdr:col>3</xdr:col>
      <xdr:colOff>187108</xdr:colOff>
      <xdr:row>18</xdr:row>
      <xdr:rowOff>28575</xdr:rowOff>
    </xdr:to>
    <xdr:sp macro="" textlink="">
      <xdr:nvSpPr>
        <xdr:cNvPr id="60" name="Textfeld 59">
          <a:extLst>
            <a:ext uri="{FF2B5EF4-FFF2-40B4-BE49-F238E27FC236}">
              <a16:creationId xmlns:a16="http://schemas.microsoft.com/office/drawing/2014/main" id="{04F22930-40A7-4AC0-8F45-51648951D948}"/>
            </a:ext>
          </a:extLst>
        </xdr:cNvPr>
        <xdr:cNvSpPr txBox="1"/>
      </xdr:nvSpPr>
      <xdr:spPr>
        <a:xfrm>
          <a:off x="1343025" y="4476750"/>
          <a:ext cx="3301783" cy="2181225"/>
        </a:xfrm>
        <a:prstGeom prst="rect">
          <a:avLst/>
        </a:prstGeom>
        <a:ln/>
      </xdr:spPr>
      <xdr:style>
        <a:lnRef idx="1">
          <a:schemeClr val="accent1"/>
        </a:lnRef>
        <a:fillRef idx="3">
          <a:schemeClr val="accent1"/>
        </a:fillRef>
        <a:effectRef idx="2">
          <a:schemeClr val="accent1"/>
        </a:effectRef>
        <a:fontRef idx="minor">
          <a:schemeClr val="lt1"/>
        </a:fontRef>
      </xdr:style>
      <xdr:txBody>
        <a:bodyPr vertOverflow="clip" horzOverflow="clip" wrap="square" lIns="72000" tIns="0" rIns="72000" bIns="0" rtlCol="0" anchor="ctr"/>
        <a:lstStyle/>
        <a:p>
          <a:r>
            <a:rPr lang="de-DE" sz="1100" b="1" baseline="0">
              <a:solidFill>
                <a:schemeClr val="bg1"/>
              </a:solidFill>
              <a:latin typeface="+mn-lt"/>
              <a:ea typeface="+mn-ea"/>
              <a:cs typeface="+mn-cs"/>
            </a:rPr>
            <a:t>Who evaluates the protection requirements of the information and thus decides on the assessment level to be verified? </a:t>
          </a:r>
        </a:p>
        <a:p>
          <a:endParaRPr lang="de-DE" sz="1100" baseline="0">
            <a:solidFill>
              <a:schemeClr val="lt1"/>
            </a:solidFill>
            <a:effectLst/>
            <a:latin typeface="+mn-lt"/>
            <a:ea typeface="+mn-ea"/>
            <a:cs typeface="+mn-cs"/>
          </a:endParaRPr>
        </a:p>
        <a:p>
          <a:r>
            <a:rPr lang="de-DE" sz="1100" baseline="0">
              <a:solidFill>
                <a:schemeClr val="lt1"/>
              </a:solidFill>
              <a:effectLst/>
              <a:latin typeface="+mn-lt"/>
              <a:ea typeface="+mn-ea"/>
              <a:cs typeface="+mn-cs"/>
            </a:rPr>
            <a:t>Your cooperating department  of Volkswagen Group performs the data and information classification according to </a:t>
          </a:r>
        </a:p>
        <a:p>
          <a:r>
            <a:rPr lang="de-DE" sz="1100" baseline="0">
              <a:solidFill>
                <a:schemeClr val="lt1"/>
              </a:solidFill>
              <a:effectLst/>
              <a:latin typeface="+mn-lt"/>
              <a:ea typeface="+mn-ea"/>
              <a:cs typeface="+mn-cs"/>
            </a:rPr>
            <a:t>- the IT security regulations of the Volkswagen Group and </a:t>
          </a:r>
        </a:p>
        <a:p>
          <a:r>
            <a:rPr lang="de-DE" sz="1100" baseline="0">
              <a:solidFill>
                <a:schemeClr val="lt1"/>
              </a:solidFill>
              <a:effectLst/>
              <a:latin typeface="+mn-lt"/>
              <a:ea typeface="+mn-ea"/>
              <a:cs typeface="+mn-cs"/>
            </a:rPr>
            <a:t>- the minimum requirements of the applications, used in the collaboration, regarding  </a:t>
          </a:r>
          <a:r>
            <a:rPr lang="de-DE" sz="1100" b="0" i="0" baseline="0">
              <a:solidFill>
                <a:schemeClr val="lt1"/>
              </a:solidFill>
              <a:effectLst/>
              <a:latin typeface="+mn-lt"/>
              <a:ea typeface="+mn-ea"/>
              <a:cs typeface="+mn-cs"/>
            </a:rPr>
            <a:t>TISAX®  label to be verified</a:t>
          </a:r>
          <a:r>
            <a:rPr lang="de-DE" sz="1100" baseline="0">
              <a:solidFill>
                <a:schemeClr val="lt1"/>
              </a:solidFill>
              <a:effectLst/>
              <a:latin typeface="+mn-lt"/>
              <a:ea typeface="+mn-ea"/>
              <a:cs typeface="+mn-cs"/>
            </a:rPr>
            <a:t>.</a:t>
          </a:r>
        </a:p>
      </xdr:txBody>
    </xdr:sp>
    <xdr:clientData/>
  </xdr:twoCellAnchor>
  <xdr:twoCellAnchor>
    <xdr:from>
      <xdr:col>1</xdr:col>
      <xdr:colOff>9525</xdr:colOff>
      <xdr:row>0</xdr:row>
      <xdr:rowOff>104775</xdr:rowOff>
    </xdr:from>
    <xdr:to>
      <xdr:col>2</xdr:col>
      <xdr:colOff>57150</xdr:colOff>
      <xdr:row>0</xdr:row>
      <xdr:rowOff>428625</xdr:rowOff>
    </xdr:to>
    <xdr:sp macro="" textlink="">
      <xdr:nvSpPr>
        <xdr:cNvPr id="62" name="Pfeil nach links 1">
          <a:hlinkClick xmlns:r="http://schemas.openxmlformats.org/officeDocument/2006/relationships" r:id="rId6"/>
          <a:extLst>
            <a:ext uri="{FF2B5EF4-FFF2-40B4-BE49-F238E27FC236}">
              <a16:creationId xmlns:a16="http://schemas.microsoft.com/office/drawing/2014/main" id="{2D745109-96B6-4D3C-BACD-115A5AFDFDAE}"/>
            </a:ext>
          </a:extLst>
        </xdr:cNvPr>
        <xdr:cNvSpPr/>
      </xdr:nvSpPr>
      <xdr:spPr>
        <a:xfrm>
          <a:off x="161925" y="104775"/>
          <a:ext cx="1847850" cy="323850"/>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100">
              <a:solidFill>
                <a:schemeClr val="lt1"/>
              </a:solidFill>
              <a:effectLst/>
              <a:latin typeface="+mn-lt"/>
              <a:ea typeface="+mn-ea"/>
              <a:cs typeface="+mn-cs"/>
            </a:rPr>
            <a:t>back to company data</a:t>
          </a:r>
        </a:p>
      </xdr:txBody>
    </xdr:sp>
    <xdr:clientData/>
  </xdr:twoCellAnchor>
  <xdr:twoCellAnchor>
    <xdr:from>
      <xdr:col>5</xdr:col>
      <xdr:colOff>847731</xdr:colOff>
      <xdr:row>5</xdr:row>
      <xdr:rowOff>66675</xdr:rowOff>
    </xdr:from>
    <xdr:to>
      <xdr:col>7</xdr:col>
      <xdr:colOff>184999</xdr:colOff>
      <xdr:row>8</xdr:row>
      <xdr:rowOff>9801</xdr:rowOff>
    </xdr:to>
    <xdr:grpSp>
      <xdr:nvGrpSpPr>
        <xdr:cNvPr id="63" name="Gruppieren 62">
          <a:hlinkClick xmlns:r="http://schemas.openxmlformats.org/officeDocument/2006/relationships" r:id="rId7"/>
          <a:extLst>
            <a:ext uri="{FF2B5EF4-FFF2-40B4-BE49-F238E27FC236}">
              <a16:creationId xmlns:a16="http://schemas.microsoft.com/office/drawing/2014/main" id="{59173574-E044-4232-B06B-0AF02EDB2205}"/>
            </a:ext>
          </a:extLst>
        </xdr:cNvPr>
        <xdr:cNvGrpSpPr/>
      </xdr:nvGrpSpPr>
      <xdr:grpSpPr>
        <a:xfrm>
          <a:off x="8334381" y="2228850"/>
          <a:ext cx="1728043" cy="514626"/>
          <a:chOff x="6279505" y="8862391"/>
          <a:chExt cx="1725645" cy="514626"/>
        </a:xfrm>
      </xdr:grpSpPr>
      <xdr:sp macro="" textlink="">
        <xdr:nvSpPr>
          <xdr:cNvPr id="64" name="Textfeld 63">
            <a:hlinkClick xmlns:r="http://schemas.openxmlformats.org/officeDocument/2006/relationships" r:id="rId8"/>
            <a:extLst>
              <a:ext uri="{FF2B5EF4-FFF2-40B4-BE49-F238E27FC236}">
                <a16:creationId xmlns:a16="http://schemas.microsoft.com/office/drawing/2014/main" id="{4E0CFBEA-2364-4F51-AA07-30C94C831E4D}"/>
              </a:ext>
            </a:extLst>
          </xdr:cNvPr>
          <xdr:cNvSpPr txBox="1"/>
        </xdr:nvSpPr>
        <xdr:spPr>
          <a:xfrm>
            <a:off x="6279505" y="8986630"/>
            <a:ext cx="1617004" cy="199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further information</a:t>
            </a:r>
          </a:p>
        </xdr:txBody>
      </xdr:sp>
      <xdr:pic>
        <xdr:nvPicPr>
          <xdr:cNvPr id="65" name="Grafik 64">
            <a:hlinkClick xmlns:r="http://schemas.openxmlformats.org/officeDocument/2006/relationships" r:id="rId8"/>
            <a:extLst>
              <a:ext uri="{FF2B5EF4-FFF2-40B4-BE49-F238E27FC236}">
                <a16:creationId xmlns:a16="http://schemas.microsoft.com/office/drawing/2014/main" id="{95FE61CF-FFDA-4C72-B363-1AE3660B705C}"/>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487479" y="8862391"/>
            <a:ext cx="517671" cy="514626"/>
          </a:xfrm>
          <a:prstGeom prst="rect">
            <a:avLst/>
          </a:prstGeom>
        </xdr:spPr>
      </xdr:pic>
    </xdr:grpSp>
    <xdr:clientData/>
  </xdr:twoCellAnchor>
  <xdr:twoCellAnchor>
    <xdr:from>
      <xdr:col>2</xdr:col>
      <xdr:colOff>1247770</xdr:colOff>
      <xdr:row>5</xdr:row>
      <xdr:rowOff>47625</xdr:rowOff>
    </xdr:from>
    <xdr:to>
      <xdr:col>3</xdr:col>
      <xdr:colOff>133366</xdr:colOff>
      <xdr:row>7</xdr:row>
      <xdr:rowOff>181251</xdr:rowOff>
    </xdr:to>
    <xdr:grpSp>
      <xdr:nvGrpSpPr>
        <xdr:cNvPr id="66" name="Gruppieren 65">
          <a:hlinkClick xmlns:r="http://schemas.openxmlformats.org/officeDocument/2006/relationships" r:id="rId10"/>
          <a:extLst>
            <a:ext uri="{FF2B5EF4-FFF2-40B4-BE49-F238E27FC236}">
              <a16:creationId xmlns:a16="http://schemas.microsoft.com/office/drawing/2014/main" id="{533CCB20-5C1C-4F75-925A-21E901D88934}"/>
            </a:ext>
          </a:extLst>
        </xdr:cNvPr>
        <xdr:cNvGrpSpPr/>
      </xdr:nvGrpSpPr>
      <xdr:grpSpPr>
        <a:xfrm>
          <a:off x="3200395" y="2209800"/>
          <a:ext cx="1390671" cy="514626"/>
          <a:chOff x="3993619" y="8870674"/>
          <a:chExt cx="1352813" cy="514626"/>
        </a:xfrm>
      </xdr:grpSpPr>
      <xdr:sp macro="" textlink="">
        <xdr:nvSpPr>
          <xdr:cNvPr id="67" name="Textfeld 66">
            <a:extLst>
              <a:ext uri="{FF2B5EF4-FFF2-40B4-BE49-F238E27FC236}">
                <a16:creationId xmlns:a16="http://schemas.microsoft.com/office/drawing/2014/main" id="{EB0A9755-63D6-42DB-91D5-F29BEFAE065F}"/>
              </a:ext>
            </a:extLst>
          </xdr:cNvPr>
          <xdr:cNvSpPr txBox="1"/>
        </xdr:nvSpPr>
        <xdr:spPr>
          <a:xfrm>
            <a:off x="3993619" y="9004024"/>
            <a:ext cx="1252069" cy="2228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Documents</a:t>
            </a:r>
          </a:p>
        </xdr:txBody>
      </xdr:sp>
      <xdr:pic>
        <xdr:nvPicPr>
          <xdr:cNvPr id="68" name="Grafik 67">
            <a:hlinkClick xmlns:r="http://schemas.openxmlformats.org/officeDocument/2006/relationships" r:id="rId11"/>
            <a:extLst>
              <a:ext uri="{FF2B5EF4-FFF2-40B4-BE49-F238E27FC236}">
                <a16:creationId xmlns:a16="http://schemas.microsoft.com/office/drawing/2014/main" id="{347BD4FB-8A27-48C3-BF92-64172DA40807}"/>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828761" y="8870674"/>
            <a:ext cx="517671" cy="514626"/>
          </a:xfrm>
          <a:prstGeom prst="rect">
            <a:avLst/>
          </a:prstGeom>
        </xdr:spPr>
      </xdr:pic>
    </xdr:grpSp>
    <xdr:clientData/>
  </xdr:twoCellAnchor>
  <xdr:twoCellAnchor>
    <xdr:from>
      <xdr:col>3</xdr:col>
      <xdr:colOff>933451</xdr:colOff>
      <xdr:row>5</xdr:row>
      <xdr:rowOff>47625</xdr:rowOff>
    </xdr:from>
    <xdr:to>
      <xdr:col>4</xdr:col>
      <xdr:colOff>523875</xdr:colOff>
      <xdr:row>7</xdr:row>
      <xdr:rowOff>180139</xdr:rowOff>
    </xdr:to>
    <xdr:grpSp>
      <xdr:nvGrpSpPr>
        <xdr:cNvPr id="75" name="Gruppieren 74">
          <a:extLst>
            <a:ext uri="{FF2B5EF4-FFF2-40B4-BE49-F238E27FC236}">
              <a16:creationId xmlns:a16="http://schemas.microsoft.com/office/drawing/2014/main" id="{0976E1C0-C4DA-42CD-AE32-F3155E988CFD}"/>
            </a:ext>
          </a:extLst>
        </xdr:cNvPr>
        <xdr:cNvGrpSpPr/>
      </xdr:nvGrpSpPr>
      <xdr:grpSpPr>
        <a:xfrm>
          <a:off x="5391151" y="2209800"/>
          <a:ext cx="1962149" cy="513514"/>
          <a:chOff x="5391151" y="2209800"/>
          <a:chExt cx="1962149" cy="513514"/>
        </a:xfrm>
      </xdr:grpSpPr>
      <xdr:sp macro="" textlink="">
        <xdr:nvSpPr>
          <xdr:cNvPr id="70" name="Textfeld 69">
            <a:hlinkClick xmlns:r="http://schemas.openxmlformats.org/officeDocument/2006/relationships" r:id="rId12"/>
            <a:extLst>
              <a:ext uri="{FF2B5EF4-FFF2-40B4-BE49-F238E27FC236}">
                <a16:creationId xmlns:a16="http://schemas.microsoft.com/office/drawing/2014/main" id="{AEE91E38-8CB8-474E-9749-1C49A498282C}"/>
              </a:ext>
            </a:extLst>
          </xdr:cNvPr>
          <xdr:cNvSpPr txBox="1"/>
        </xdr:nvSpPr>
        <xdr:spPr>
          <a:xfrm>
            <a:off x="5391151" y="2317708"/>
            <a:ext cx="1729067" cy="2762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de-DE" sz="1200"/>
              <a:t> Participant Handbook</a:t>
            </a:r>
          </a:p>
        </xdr:txBody>
      </xdr:sp>
      <xdr:pic>
        <xdr:nvPicPr>
          <xdr:cNvPr id="71" name="Grafik 70">
            <a:hlinkClick xmlns:r="http://schemas.openxmlformats.org/officeDocument/2006/relationships" r:id="rId12"/>
            <a:extLst>
              <a:ext uri="{FF2B5EF4-FFF2-40B4-BE49-F238E27FC236}">
                <a16:creationId xmlns:a16="http://schemas.microsoft.com/office/drawing/2014/main" id="{2E114D89-09D2-4720-87FA-263889D8DA05}"/>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821145" y="2209800"/>
            <a:ext cx="532155" cy="513514"/>
          </a:xfrm>
          <a:prstGeom prst="rect">
            <a:avLst/>
          </a:prstGeom>
        </xdr:spPr>
      </xdr:pic>
    </xdr:grpSp>
    <xdr:clientData/>
  </xdr:twoCellAnchor>
  <xdr:twoCellAnchor>
    <xdr:from>
      <xdr:col>1</xdr:col>
      <xdr:colOff>1323975</xdr:colOff>
      <xdr:row>5</xdr:row>
      <xdr:rowOff>28575</xdr:rowOff>
    </xdr:from>
    <xdr:to>
      <xdr:col>2</xdr:col>
      <xdr:colOff>992882</xdr:colOff>
      <xdr:row>7</xdr:row>
      <xdr:rowOff>162201</xdr:rowOff>
    </xdr:to>
    <xdr:grpSp>
      <xdr:nvGrpSpPr>
        <xdr:cNvPr id="72" name="Gruppieren 71">
          <a:extLst>
            <a:ext uri="{FF2B5EF4-FFF2-40B4-BE49-F238E27FC236}">
              <a16:creationId xmlns:a16="http://schemas.microsoft.com/office/drawing/2014/main" id="{16325078-30BE-422B-8A1C-A7D8D2E9792E}"/>
            </a:ext>
          </a:extLst>
        </xdr:cNvPr>
        <xdr:cNvGrpSpPr/>
      </xdr:nvGrpSpPr>
      <xdr:grpSpPr>
        <a:xfrm>
          <a:off x="1476375" y="2190750"/>
          <a:ext cx="1469132" cy="514626"/>
          <a:chOff x="1591235" y="2218765"/>
          <a:chExt cx="1394341" cy="514626"/>
        </a:xfrm>
      </xdr:grpSpPr>
      <xdr:sp macro="" textlink="">
        <xdr:nvSpPr>
          <xdr:cNvPr id="73" name="Textfeld 72">
            <a:hlinkClick xmlns:r="http://schemas.openxmlformats.org/officeDocument/2006/relationships" r:id="rId13"/>
            <a:extLst>
              <a:ext uri="{FF2B5EF4-FFF2-40B4-BE49-F238E27FC236}">
                <a16:creationId xmlns:a16="http://schemas.microsoft.com/office/drawing/2014/main" id="{1486453B-FF80-4BFD-BFB3-9505D0DD9A46}"/>
              </a:ext>
            </a:extLst>
          </xdr:cNvPr>
          <xdr:cNvSpPr txBox="1"/>
        </xdr:nvSpPr>
        <xdr:spPr>
          <a:xfrm>
            <a:off x="1490608" y="2350044"/>
            <a:ext cx="1394341" cy="2236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ENX portal</a:t>
            </a:r>
          </a:p>
        </xdr:txBody>
      </xdr:sp>
      <xdr:pic>
        <xdr:nvPicPr>
          <xdr:cNvPr id="74" name="Grafik 73">
            <a:hlinkClick xmlns:r="http://schemas.openxmlformats.org/officeDocument/2006/relationships" r:id="rId13"/>
            <a:extLst>
              <a:ext uri="{FF2B5EF4-FFF2-40B4-BE49-F238E27FC236}">
                <a16:creationId xmlns:a16="http://schemas.microsoft.com/office/drawing/2014/main" id="{903D7819-0026-45A7-86BD-B13235AE591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415563" y="2218765"/>
            <a:ext cx="548099" cy="514626"/>
          </a:xfrm>
          <a:prstGeom prst="rect">
            <a:avLst/>
          </a:prstGeom>
        </xdr:spPr>
      </xdr:pic>
    </xdr:grpSp>
    <xdr:clientData/>
  </xdr:twoCellAnchor>
  <xdr:twoCellAnchor>
    <xdr:from>
      <xdr:col>8</xdr:col>
      <xdr:colOff>1714500</xdr:colOff>
      <xdr:row>20</xdr:row>
      <xdr:rowOff>142875</xdr:rowOff>
    </xdr:from>
    <xdr:to>
      <xdr:col>12</xdr:col>
      <xdr:colOff>361950</xdr:colOff>
      <xdr:row>24</xdr:row>
      <xdr:rowOff>171450</xdr:rowOff>
    </xdr:to>
    <xdr:sp macro="" textlink="">
      <xdr:nvSpPr>
        <xdr:cNvPr id="2" name="Rechteck 1">
          <a:extLst>
            <a:ext uri="{FF2B5EF4-FFF2-40B4-BE49-F238E27FC236}">
              <a16:creationId xmlns:a16="http://schemas.microsoft.com/office/drawing/2014/main" id="{8AC6CFE2-657B-43C8-8F9F-040E9C963FD8}"/>
            </a:ext>
          </a:extLst>
        </xdr:cNvPr>
        <xdr:cNvSpPr/>
      </xdr:nvSpPr>
      <xdr:spPr>
        <a:xfrm>
          <a:off x="12344400" y="7153275"/>
          <a:ext cx="3581400" cy="790575"/>
        </a:xfrm>
        <a:prstGeom prst="rect">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200026</xdr:colOff>
      <xdr:row>21</xdr:row>
      <xdr:rowOff>95250</xdr:rowOff>
    </xdr:from>
    <xdr:to>
      <xdr:col>12</xdr:col>
      <xdr:colOff>57150</xdr:colOff>
      <xdr:row>24</xdr:row>
      <xdr:rowOff>37264</xdr:rowOff>
    </xdr:to>
    <xdr:grpSp>
      <xdr:nvGrpSpPr>
        <xdr:cNvPr id="69" name="Gruppieren 68">
          <a:extLst>
            <a:ext uri="{FF2B5EF4-FFF2-40B4-BE49-F238E27FC236}">
              <a16:creationId xmlns:a16="http://schemas.microsoft.com/office/drawing/2014/main" id="{9D50DF56-D14C-466A-8A03-1A1871F26393}"/>
            </a:ext>
          </a:extLst>
        </xdr:cNvPr>
        <xdr:cNvGrpSpPr/>
      </xdr:nvGrpSpPr>
      <xdr:grpSpPr>
        <a:xfrm>
          <a:off x="13658851" y="7296150"/>
          <a:ext cx="1962149" cy="513514"/>
          <a:chOff x="5391151" y="2209800"/>
          <a:chExt cx="1962149" cy="513514"/>
        </a:xfrm>
      </xdr:grpSpPr>
      <xdr:sp macro="" textlink="">
        <xdr:nvSpPr>
          <xdr:cNvPr id="76" name="Textfeld 75">
            <a:hlinkClick xmlns:r="http://schemas.openxmlformats.org/officeDocument/2006/relationships" r:id="rId12"/>
            <a:extLst>
              <a:ext uri="{FF2B5EF4-FFF2-40B4-BE49-F238E27FC236}">
                <a16:creationId xmlns:a16="http://schemas.microsoft.com/office/drawing/2014/main" id="{296D91D9-0B33-4B48-B8ED-7634945B8F35}"/>
              </a:ext>
            </a:extLst>
          </xdr:cNvPr>
          <xdr:cNvSpPr txBox="1"/>
        </xdr:nvSpPr>
        <xdr:spPr>
          <a:xfrm>
            <a:off x="5391151" y="2317708"/>
            <a:ext cx="1729067" cy="27622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de-DE" sz="1200"/>
              <a:t> Participant Handbook</a:t>
            </a:r>
          </a:p>
        </xdr:txBody>
      </xdr:sp>
      <xdr:pic>
        <xdr:nvPicPr>
          <xdr:cNvPr id="77" name="Grafik 76">
            <a:hlinkClick xmlns:r="http://schemas.openxmlformats.org/officeDocument/2006/relationships" r:id="rId12"/>
            <a:extLst>
              <a:ext uri="{FF2B5EF4-FFF2-40B4-BE49-F238E27FC236}">
                <a16:creationId xmlns:a16="http://schemas.microsoft.com/office/drawing/2014/main" id="{1BF56E4B-6C62-4AAA-8F92-AE2C8410841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821145" y="2209800"/>
            <a:ext cx="532155" cy="513514"/>
          </a:xfrm>
          <a:prstGeom prst="rect">
            <a:avLst/>
          </a:prstGeom>
        </xdr:spPr>
      </xdr:pic>
    </xdr:grpSp>
    <xdr:clientData/>
  </xdr:twoCellAnchor>
  <xdr:twoCellAnchor>
    <xdr:from>
      <xdr:col>8</xdr:col>
      <xdr:colOff>1885950</xdr:colOff>
      <xdr:row>21</xdr:row>
      <xdr:rowOff>161925</xdr:rowOff>
    </xdr:from>
    <xdr:to>
      <xdr:col>10</xdr:col>
      <xdr:colOff>0</xdr:colOff>
      <xdr:row>23</xdr:row>
      <xdr:rowOff>161925</xdr:rowOff>
    </xdr:to>
    <xdr:sp macro="" textlink="">
      <xdr:nvSpPr>
        <xdr:cNvPr id="40" name="Pfeil: nach rechts 39">
          <a:extLst>
            <a:ext uri="{FF2B5EF4-FFF2-40B4-BE49-F238E27FC236}">
              <a16:creationId xmlns:a16="http://schemas.microsoft.com/office/drawing/2014/main" id="{66055469-214B-4770-B484-363B7964ADDB}"/>
            </a:ext>
          </a:extLst>
        </xdr:cNvPr>
        <xdr:cNvSpPr/>
      </xdr:nvSpPr>
      <xdr:spPr>
        <a:xfrm>
          <a:off x="12515850" y="7362825"/>
          <a:ext cx="942975" cy="381000"/>
        </a:xfrm>
        <a:prstGeom prst="right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1200977</xdr:colOff>
      <xdr:row>36</xdr:row>
      <xdr:rowOff>149088</xdr:rowOff>
    </xdr:from>
    <xdr:to>
      <xdr:col>2</xdr:col>
      <xdr:colOff>2343683</xdr:colOff>
      <xdr:row>38</xdr:row>
      <xdr:rowOff>142144</xdr:rowOff>
    </xdr:to>
    <xdr:grpSp>
      <xdr:nvGrpSpPr>
        <xdr:cNvPr id="43" name="Gruppieren 42">
          <a:extLst>
            <a:ext uri="{FF2B5EF4-FFF2-40B4-BE49-F238E27FC236}">
              <a16:creationId xmlns:a16="http://schemas.microsoft.com/office/drawing/2014/main" id="{D19FB1AD-BEC3-46FA-B567-138FB516BF07}"/>
            </a:ext>
          </a:extLst>
        </xdr:cNvPr>
        <xdr:cNvGrpSpPr/>
      </xdr:nvGrpSpPr>
      <xdr:grpSpPr>
        <a:xfrm>
          <a:off x="3153602" y="10207488"/>
          <a:ext cx="1142706" cy="374056"/>
          <a:chOff x="3130825" y="10216965"/>
          <a:chExt cx="1184415" cy="382500"/>
        </a:xfrm>
      </xdr:grpSpPr>
      <xdr:sp macro="" textlink="">
        <xdr:nvSpPr>
          <xdr:cNvPr id="79" name="Textfeld 78">
            <a:extLst>
              <a:ext uri="{FF2B5EF4-FFF2-40B4-BE49-F238E27FC236}">
                <a16:creationId xmlns:a16="http://schemas.microsoft.com/office/drawing/2014/main" id="{9E1C55F4-2607-4CCF-A034-8F221E22F0C0}"/>
              </a:ext>
            </a:extLst>
          </xdr:cNvPr>
          <xdr:cNvSpPr txBox="1"/>
        </xdr:nvSpPr>
        <xdr:spPr>
          <a:xfrm>
            <a:off x="3147390" y="10284751"/>
            <a:ext cx="1094215" cy="1927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Documents</a:t>
            </a:r>
          </a:p>
        </xdr:txBody>
      </xdr:sp>
      <xdr:pic>
        <xdr:nvPicPr>
          <xdr:cNvPr id="80" name="Grafik 79">
            <a:hlinkClick xmlns:r="http://schemas.openxmlformats.org/officeDocument/2006/relationships" r:id="rId11"/>
            <a:extLst>
              <a:ext uri="{FF2B5EF4-FFF2-40B4-BE49-F238E27FC236}">
                <a16:creationId xmlns:a16="http://schemas.microsoft.com/office/drawing/2014/main" id="{69F76B3C-9A5F-4612-8444-EBF75D41EE9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909075" y="10204175"/>
            <a:ext cx="381021" cy="374056"/>
          </a:xfrm>
          <a:prstGeom prst="rect">
            <a:avLst/>
          </a:prstGeom>
        </xdr:spPr>
      </xdr:pic>
    </xdr:grpSp>
    <xdr:clientData/>
  </xdr:twoCellAnchor>
  <xdr:twoCellAnchor>
    <xdr:from>
      <xdr:col>2</xdr:col>
      <xdr:colOff>1304804</xdr:colOff>
      <xdr:row>41</xdr:row>
      <xdr:rowOff>137834</xdr:rowOff>
    </xdr:from>
    <xdr:to>
      <xdr:col>2</xdr:col>
      <xdr:colOff>2361314</xdr:colOff>
      <xdr:row>43</xdr:row>
      <xdr:rowOff>112505</xdr:rowOff>
    </xdr:to>
    <xdr:grpSp>
      <xdr:nvGrpSpPr>
        <xdr:cNvPr id="41" name="Gruppieren 40">
          <a:extLst>
            <a:ext uri="{FF2B5EF4-FFF2-40B4-BE49-F238E27FC236}">
              <a16:creationId xmlns:a16="http://schemas.microsoft.com/office/drawing/2014/main" id="{2137AF90-1B5B-4C51-A27E-99C5F9E8911B}"/>
            </a:ext>
          </a:extLst>
        </xdr:cNvPr>
        <xdr:cNvGrpSpPr/>
      </xdr:nvGrpSpPr>
      <xdr:grpSpPr>
        <a:xfrm>
          <a:off x="3257429" y="11148734"/>
          <a:ext cx="1056510" cy="355671"/>
          <a:chOff x="3172854" y="11148390"/>
          <a:chExt cx="1168004" cy="402397"/>
        </a:xfrm>
      </xdr:grpSpPr>
      <xdr:sp macro="" textlink="">
        <xdr:nvSpPr>
          <xdr:cNvPr id="82" name="Textfeld 81">
            <a:hlinkClick xmlns:r="http://schemas.openxmlformats.org/officeDocument/2006/relationships" r:id="rId13"/>
            <a:extLst>
              <a:ext uri="{FF2B5EF4-FFF2-40B4-BE49-F238E27FC236}">
                <a16:creationId xmlns:a16="http://schemas.microsoft.com/office/drawing/2014/main" id="{393AA2DC-8E32-4FF1-960F-AE76B72C7A3D}"/>
              </a:ext>
            </a:extLst>
          </xdr:cNvPr>
          <xdr:cNvSpPr txBox="1"/>
        </xdr:nvSpPr>
        <xdr:spPr>
          <a:xfrm>
            <a:off x="3251217" y="11245680"/>
            <a:ext cx="848672" cy="186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r>
              <a:rPr lang="de-DE" sz="1100"/>
              <a:t> ENX portal</a:t>
            </a:r>
          </a:p>
        </xdr:txBody>
      </xdr:sp>
      <xdr:pic>
        <xdr:nvPicPr>
          <xdr:cNvPr id="83" name="Grafik 82">
            <a:hlinkClick xmlns:r="http://schemas.openxmlformats.org/officeDocument/2006/relationships" r:id="rId13"/>
            <a:extLst>
              <a:ext uri="{FF2B5EF4-FFF2-40B4-BE49-F238E27FC236}">
                <a16:creationId xmlns:a16="http://schemas.microsoft.com/office/drawing/2014/main" id="{408CB63B-696A-4F02-93F8-ED88A949F334}"/>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09391" y="11145421"/>
            <a:ext cx="398336" cy="355671"/>
          </a:xfrm>
          <a:prstGeom prst="rect">
            <a:avLst/>
          </a:prstGeom>
        </xdr:spPr>
      </xdr:pic>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275103</xdr:colOff>
      <xdr:row>67</xdr:row>
      <xdr:rowOff>96931</xdr:rowOff>
    </xdr:from>
    <xdr:to>
      <xdr:col>1</xdr:col>
      <xdr:colOff>2444002</xdr:colOff>
      <xdr:row>67</xdr:row>
      <xdr:rowOff>459441</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275103" y="18553019"/>
          <a:ext cx="2505075" cy="362510"/>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latin typeface="+mn-lt"/>
              <a:ea typeface="+mn-ea"/>
              <a:cs typeface="+mn-cs"/>
            </a:rPr>
            <a:t>back</a:t>
          </a:r>
          <a:r>
            <a:rPr lang="de-DE" sz="1100" baseline="0">
              <a:latin typeface="+mn-lt"/>
              <a:ea typeface="+mn-ea"/>
              <a:cs typeface="+mn-cs"/>
            </a:rPr>
            <a:t> - company data</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66674</xdr:colOff>
      <xdr:row>99</xdr:row>
      <xdr:rowOff>104775</xdr:rowOff>
    </xdr:from>
    <xdr:to>
      <xdr:col>1</xdr:col>
      <xdr:colOff>2571749</xdr:colOff>
      <xdr:row>99</xdr:row>
      <xdr:rowOff>421697</xdr:rowOff>
    </xdr:to>
    <xdr:sp macro="" textlink="">
      <xdr:nvSpPr>
        <xdr:cNvPr id="3" name="Pfeil nach links 2">
          <a:hlinkClick xmlns:r="http://schemas.openxmlformats.org/officeDocument/2006/relationships" r:id="rId2"/>
          <a:extLst>
            <a:ext uri="{FF2B5EF4-FFF2-40B4-BE49-F238E27FC236}">
              <a16:creationId xmlns:a16="http://schemas.microsoft.com/office/drawing/2014/main" id="{00000000-0008-0000-0800-000003000000}"/>
            </a:ext>
          </a:extLst>
        </xdr:cNvPr>
        <xdr:cNvSpPr/>
      </xdr:nvSpPr>
      <xdr:spPr>
        <a:xfrm>
          <a:off x="714374" y="13439775"/>
          <a:ext cx="2505075" cy="316922"/>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back - contact persons</a:t>
          </a:r>
        </a:p>
      </xdr:txBody>
    </xdr:sp>
    <xdr:clientData/>
  </xdr:twoCellAnchor>
  <xdr:twoCellAnchor>
    <xdr:from>
      <xdr:col>1</xdr:col>
      <xdr:colOff>95249</xdr:colOff>
      <xdr:row>157</xdr:row>
      <xdr:rowOff>142875</xdr:rowOff>
    </xdr:from>
    <xdr:to>
      <xdr:col>1</xdr:col>
      <xdr:colOff>2600324</xdr:colOff>
      <xdr:row>157</xdr:row>
      <xdr:rowOff>459797</xdr:rowOff>
    </xdr:to>
    <xdr:sp macro="" textlink="">
      <xdr:nvSpPr>
        <xdr:cNvPr id="4" name="Pfeil nach links 3">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742949" y="19288125"/>
          <a:ext cx="2505075" cy="316922"/>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back - </a:t>
          </a:r>
          <a:r>
            <a:rPr lang="de-DE" sz="1000">
              <a:latin typeface="Tahoma" panose="020B0604030504040204" pitchFamily="34" charset="0"/>
              <a:ea typeface="Tahoma" panose="020B0604030504040204" pitchFamily="34" charset="0"/>
              <a:cs typeface="Tahoma" panose="020B0604030504040204" pitchFamily="34" charset="0"/>
            </a:rPr>
            <a:t>applications</a:t>
          </a:r>
        </a:p>
      </xdr:txBody>
    </xdr:sp>
    <xdr:clientData/>
  </xdr:twoCellAnchor>
  <xdr:twoCellAnchor>
    <xdr:from>
      <xdr:col>0</xdr:col>
      <xdr:colOff>302265</xdr:colOff>
      <xdr:row>199</xdr:row>
      <xdr:rowOff>41413</xdr:rowOff>
    </xdr:from>
    <xdr:to>
      <xdr:col>1</xdr:col>
      <xdr:colOff>2476036</xdr:colOff>
      <xdr:row>200</xdr:row>
      <xdr:rowOff>190500</xdr:rowOff>
    </xdr:to>
    <xdr:sp macro="" textlink="">
      <xdr:nvSpPr>
        <xdr:cNvPr id="5" name="Pfeil nach links 4">
          <a:hlinkClick xmlns:r="http://schemas.openxmlformats.org/officeDocument/2006/relationships" r:id="rId4"/>
          <a:extLst>
            <a:ext uri="{FF2B5EF4-FFF2-40B4-BE49-F238E27FC236}">
              <a16:creationId xmlns:a16="http://schemas.microsoft.com/office/drawing/2014/main" id="{00000000-0008-0000-0800-000005000000}"/>
            </a:ext>
          </a:extLst>
        </xdr:cNvPr>
        <xdr:cNvSpPr/>
      </xdr:nvSpPr>
      <xdr:spPr>
        <a:xfrm>
          <a:off x="302265" y="53381413"/>
          <a:ext cx="2509947" cy="328381"/>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back - </a:t>
          </a:r>
          <a:r>
            <a:rPr lang="de-DE" sz="1000">
              <a:latin typeface="Tahoma" panose="020B0604030504040204" pitchFamily="34" charset="0"/>
              <a:ea typeface="Tahoma" panose="020B0604030504040204" pitchFamily="34" charset="0"/>
              <a:cs typeface="Tahoma" panose="020B0604030504040204" pitchFamily="34" charset="0"/>
            </a:rPr>
            <a:t>contact persons of</a:t>
          </a:r>
          <a:r>
            <a:rPr lang="de-DE" sz="1000" baseline="0">
              <a:latin typeface="Tahoma" panose="020B0604030504040204" pitchFamily="34" charset="0"/>
              <a:ea typeface="Tahoma" panose="020B0604030504040204" pitchFamily="34" charset="0"/>
              <a:cs typeface="Tahoma" panose="020B0604030504040204" pitchFamily="34" charset="0"/>
            </a:rPr>
            <a:t> VW Group</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4064933</xdr:colOff>
      <xdr:row>261</xdr:row>
      <xdr:rowOff>220756</xdr:rowOff>
    </xdr:from>
    <xdr:to>
      <xdr:col>2</xdr:col>
      <xdr:colOff>388283</xdr:colOff>
      <xdr:row>262</xdr:row>
      <xdr:rowOff>433667</xdr:rowOff>
    </xdr:to>
    <xdr:sp macro="" textlink="">
      <xdr:nvSpPr>
        <xdr:cNvPr id="10" name="Pfeil nach rechts 9">
          <a:extLst>
            <a:ext uri="{FF2B5EF4-FFF2-40B4-BE49-F238E27FC236}">
              <a16:creationId xmlns:a16="http://schemas.microsoft.com/office/drawing/2014/main" id="{00000000-0008-0000-0800-00000A000000}"/>
            </a:ext>
          </a:extLst>
        </xdr:cNvPr>
        <xdr:cNvSpPr/>
      </xdr:nvSpPr>
      <xdr:spPr>
        <a:xfrm>
          <a:off x="4401109" y="62794403"/>
          <a:ext cx="660027" cy="448235"/>
        </a:xfrm>
        <a:prstGeom prst="rightArrow">
          <a:avLst/>
        </a:prstGeom>
        <a:solidFill>
          <a:schemeClr val="accent3">
            <a:lumMod val="50000"/>
          </a:schemeClr>
        </a:solidFill>
        <a:ln w="6350">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3905249</xdr:colOff>
      <xdr:row>246</xdr:row>
      <xdr:rowOff>19050</xdr:rowOff>
    </xdr:from>
    <xdr:to>
      <xdr:col>2</xdr:col>
      <xdr:colOff>476250</xdr:colOff>
      <xdr:row>247</xdr:row>
      <xdr:rowOff>19050</xdr:rowOff>
    </xdr:to>
    <xdr:sp macro="" textlink="">
      <xdr:nvSpPr>
        <xdr:cNvPr id="12" name="Pfeil nach rechts 11">
          <a:extLst>
            <a:ext uri="{FF2B5EF4-FFF2-40B4-BE49-F238E27FC236}">
              <a16:creationId xmlns:a16="http://schemas.microsoft.com/office/drawing/2014/main" id="{00000000-0008-0000-0800-00000C000000}"/>
            </a:ext>
          </a:extLst>
        </xdr:cNvPr>
        <xdr:cNvSpPr/>
      </xdr:nvSpPr>
      <xdr:spPr>
        <a:xfrm>
          <a:off x="4238624" y="45739050"/>
          <a:ext cx="904876" cy="457200"/>
        </a:xfrm>
        <a:prstGeom prst="rightArrow">
          <a:avLst/>
        </a:prstGeom>
        <a:solidFill>
          <a:schemeClr val="accent3">
            <a:lumMod val="50000"/>
          </a:schemeClr>
        </a:solidFill>
        <a:ln w="6350">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2</xdr:col>
      <xdr:colOff>2366123</xdr:colOff>
      <xdr:row>0</xdr:row>
      <xdr:rowOff>119343</xdr:rowOff>
    </xdr:from>
    <xdr:to>
      <xdr:col>2</xdr:col>
      <xdr:colOff>4468409</xdr:colOff>
      <xdr:row>1</xdr:row>
      <xdr:rowOff>134471</xdr:rowOff>
    </xdr:to>
    <xdr:pic>
      <xdr:nvPicPr>
        <xdr:cNvPr id="21" name="Grafik 20">
          <a:hlinkClick xmlns:r="http://schemas.openxmlformats.org/officeDocument/2006/relationships" r:id="rId5"/>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7038976" y="119343"/>
          <a:ext cx="2102286" cy="463363"/>
        </a:xfrm>
        <a:prstGeom prst="rect">
          <a:avLst/>
        </a:prstGeom>
      </xdr:spPr>
    </xdr:pic>
    <xdr:clientData/>
  </xdr:twoCellAnchor>
  <xdr:twoCellAnchor>
    <xdr:from>
      <xdr:col>1</xdr:col>
      <xdr:colOff>134472</xdr:colOff>
      <xdr:row>1</xdr:row>
      <xdr:rowOff>123266</xdr:rowOff>
    </xdr:from>
    <xdr:to>
      <xdr:col>1</xdr:col>
      <xdr:colOff>2134721</xdr:colOff>
      <xdr:row>1</xdr:row>
      <xdr:rowOff>285263</xdr:rowOff>
    </xdr:to>
    <xdr:sp macro="" textlink="">
      <xdr:nvSpPr>
        <xdr:cNvPr id="23" name="Rechteck 22">
          <a:hlinkClick xmlns:r="http://schemas.openxmlformats.org/officeDocument/2006/relationships" r:id="rId7"/>
          <a:extLst>
            <a:ext uri="{FF2B5EF4-FFF2-40B4-BE49-F238E27FC236}">
              <a16:creationId xmlns:a16="http://schemas.microsoft.com/office/drawing/2014/main" id="{00000000-0008-0000-0800-000017000000}"/>
            </a:ext>
          </a:extLst>
        </xdr:cNvPr>
        <xdr:cNvSpPr/>
      </xdr:nvSpPr>
      <xdr:spPr>
        <a:xfrm>
          <a:off x="470648" y="571501"/>
          <a:ext cx="2000249" cy="161997"/>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de-DE" sz="1100">
              <a:solidFill>
                <a:schemeClr val="tx1"/>
              </a:solidFill>
            </a:rPr>
            <a:t>company data</a:t>
          </a:r>
        </a:p>
      </xdr:txBody>
    </xdr:sp>
    <xdr:clientData/>
  </xdr:twoCellAnchor>
  <xdr:twoCellAnchor>
    <xdr:from>
      <xdr:col>1</xdr:col>
      <xdr:colOff>134472</xdr:colOff>
      <xdr:row>1</xdr:row>
      <xdr:rowOff>342439</xdr:rowOff>
    </xdr:from>
    <xdr:to>
      <xdr:col>1</xdr:col>
      <xdr:colOff>2134721</xdr:colOff>
      <xdr:row>1</xdr:row>
      <xdr:rowOff>504436</xdr:rowOff>
    </xdr:to>
    <xdr:sp macro="" textlink="">
      <xdr:nvSpPr>
        <xdr:cNvPr id="24" name="Rechteck 23">
          <a:hlinkClick xmlns:r="http://schemas.openxmlformats.org/officeDocument/2006/relationships" r:id="rId8"/>
          <a:extLst>
            <a:ext uri="{FF2B5EF4-FFF2-40B4-BE49-F238E27FC236}">
              <a16:creationId xmlns:a16="http://schemas.microsoft.com/office/drawing/2014/main" id="{00000000-0008-0000-0800-000018000000}"/>
            </a:ext>
          </a:extLst>
        </xdr:cNvPr>
        <xdr:cNvSpPr/>
      </xdr:nvSpPr>
      <xdr:spPr>
        <a:xfrm>
          <a:off x="470648" y="790674"/>
          <a:ext cx="2000249" cy="161997"/>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de-DE" sz="1100">
              <a:solidFill>
                <a:schemeClr val="tx1"/>
              </a:solidFill>
            </a:rPr>
            <a:t>contact persons</a:t>
          </a:r>
        </a:p>
      </xdr:txBody>
    </xdr:sp>
    <xdr:clientData/>
  </xdr:twoCellAnchor>
  <xdr:twoCellAnchor>
    <xdr:from>
      <xdr:col>1</xdr:col>
      <xdr:colOff>134472</xdr:colOff>
      <xdr:row>1</xdr:row>
      <xdr:rowOff>571140</xdr:rowOff>
    </xdr:from>
    <xdr:to>
      <xdr:col>1</xdr:col>
      <xdr:colOff>2134721</xdr:colOff>
      <xdr:row>1</xdr:row>
      <xdr:rowOff>733137</xdr:rowOff>
    </xdr:to>
    <xdr:sp macro="" textlink="">
      <xdr:nvSpPr>
        <xdr:cNvPr id="25" name="Rechteck 24">
          <a:hlinkClick xmlns:r="http://schemas.openxmlformats.org/officeDocument/2006/relationships" r:id="rId9"/>
          <a:extLst>
            <a:ext uri="{FF2B5EF4-FFF2-40B4-BE49-F238E27FC236}">
              <a16:creationId xmlns:a16="http://schemas.microsoft.com/office/drawing/2014/main" id="{00000000-0008-0000-0800-000019000000}"/>
            </a:ext>
          </a:extLst>
        </xdr:cNvPr>
        <xdr:cNvSpPr/>
      </xdr:nvSpPr>
      <xdr:spPr>
        <a:xfrm>
          <a:off x="470648" y="1019375"/>
          <a:ext cx="2000249" cy="161997"/>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de-DE" sz="1100">
              <a:solidFill>
                <a:schemeClr val="tx1"/>
              </a:solidFill>
            </a:rPr>
            <a:t>applications</a:t>
          </a:r>
        </a:p>
      </xdr:txBody>
    </xdr:sp>
    <xdr:clientData/>
  </xdr:twoCellAnchor>
  <xdr:twoCellAnchor>
    <xdr:from>
      <xdr:col>1</xdr:col>
      <xdr:colOff>134472</xdr:colOff>
      <xdr:row>1</xdr:row>
      <xdr:rowOff>790313</xdr:rowOff>
    </xdr:from>
    <xdr:to>
      <xdr:col>1</xdr:col>
      <xdr:colOff>2134721</xdr:colOff>
      <xdr:row>1</xdr:row>
      <xdr:rowOff>952310</xdr:rowOff>
    </xdr:to>
    <xdr:sp macro="" textlink="">
      <xdr:nvSpPr>
        <xdr:cNvPr id="26" name="Rechteck 25">
          <a:hlinkClick xmlns:r="http://schemas.openxmlformats.org/officeDocument/2006/relationships" r:id="rId10"/>
          <a:extLst>
            <a:ext uri="{FF2B5EF4-FFF2-40B4-BE49-F238E27FC236}">
              <a16:creationId xmlns:a16="http://schemas.microsoft.com/office/drawing/2014/main" id="{00000000-0008-0000-0800-00001A000000}"/>
            </a:ext>
          </a:extLst>
        </xdr:cNvPr>
        <xdr:cNvSpPr/>
      </xdr:nvSpPr>
      <xdr:spPr>
        <a:xfrm>
          <a:off x="470648" y="1238548"/>
          <a:ext cx="2000249" cy="161997"/>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de-DE" sz="1100">
              <a:solidFill>
                <a:schemeClr val="tx1"/>
              </a:solidFill>
            </a:rPr>
            <a:t>contact persons VW</a:t>
          </a:r>
          <a:r>
            <a:rPr lang="de-DE" sz="1100" baseline="0">
              <a:solidFill>
                <a:schemeClr val="tx1"/>
              </a:solidFill>
            </a:rPr>
            <a:t> Group</a:t>
          </a:r>
          <a:endParaRPr lang="de-DE" sz="1100">
            <a:solidFill>
              <a:schemeClr val="tx1"/>
            </a:solidFill>
          </a:endParaRPr>
        </a:p>
      </xdr:txBody>
    </xdr:sp>
    <xdr:clientData/>
  </xdr:twoCellAnchor>
  <xdr:twoCellAnchor>
    <xdr:from>
      <xdr:col>1</xdr:col>
      <xdr:colOff>123266</xdr:colOff>
      <xdr:row>1</xdr:row>
      <xdr:rowOff>1359762</xdr:rowOff>
    </xdr:from>
    <xdr:to>
      <xdr:col>1</xdr:col>
      <xdr:colOff>2123515</xdr:colOff>
      <xdr:row>2</xdr:row>
      <xdr:rowOff>78441</xdr:rowOff>
    </xdr:to>
    <xdr:sp macro="" textlink="">
      <xdr:nvSpPr>
        <xdr:cNvPr id="28" name="Rechteck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459442" y="1807997"/>
          <a:ext cx="2000249" cy="197856"/>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de-DE" sz="1100">
              <a:solidFill>
                <a:schemeClr val="tx1"/>
              </a:solidFill>
            </a:rPr>
            <a:t>contract preview</a:t>
          </a:r>
        </a:p>
      </xdr:txBody>
    </xdr:sp>
    <xdr:clientData/>
  </xdr:twoCellAnchor>
  <xdr:twoCellAnchor>
    <xdr:from>
      <xdr:col>0</xdr:col>
      <xdr:colOff>63873</xdr:colOff>
      <xdr:row>65</xdr:row>
      <xdr:rowOff>174272</xdr:rowOff>
    </xdr:from>
    <xdr:to>
      <xdr:col>0</xdr:col>
      <xdr:colOff>262168</xdr:colOff>
      <xdr:row>66</xdr:row>
      <xdr:rowOff>197756</xdr:rowOff>
    </xdr:to>
    <xdr:sp macro="" textlink="">
      <xdr:nvSpPr>
        <xdr:cNvPr id="29" name="Pfeil nach oben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63873" y="15739243"/>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33132</xdr:colOff>
      <xdr:row>97</xdr:row>
      <xdr:rowOff>99387</xdr:rowOff>
    </xdr:from>
    <xdr:to>
      <xdr:col>0</xdr:col>
      <xdr:colOff>231427</xdr:colOff>
      <xdr:row>98</xdr:row>
      <xdr:rowOff>164771</xdr:rowOff>
    </xdr:to>
    <xdr:sp macro="" textlink="">
      <xdr:nvSpPr>
        <xdr:cNvPr id="30" name="Pfeil nach oben 29">
          <a:hlinkClick xmlns:r="http://schemas.openxmlformats.org/officeDocument/2006/relationships" r:id="rId12"/>
          <a:extLst>
            <a:ext uri="{FF2B5EF4-FFF2-40B4-BE49-F238E27FC236}">
              <a16:creationId xmlns:a16="http://schemas.microsoft.com/office/drawing/2014/main" id="{00000000-0008-0000-0800-00001E000000}"/>
            </a:ext>
          </a:extLst>
        </xdr:cNvPr>
        <xdr:cNvSpPr/>
      </xdr:nvSpPr>
      <xdr:spPr>
        <a:xfrm>
          <a:off x="33132" y="14983235"/>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41415</xdr:colOff>
      <xdr:row>154</xdr:row>
      <xdr:rowOff>364452</xdr:rowOff>
    </xdr:from>
    <xdr:to>
      <xdr:col>0</xdr:col>
      <xdr:colOff>239710</xdr:colOff>
      <xdr:row>154</xdr:row>
      <xdr:rowOff>612053</xdr:rowOff>
    </xdr:to>
    <xdr:sp macro="" textlink="">
      <xdr:nvSpPr>
        <xdr:cNvPr id="31" name="Pfeil nach oben 30">
          <a:hlinkClick xmlns:r="http://schemas.openxmlformats.org/officeDocument/2006/relationships" r:id="rId12"/>
          <a:extLst>
            <a:ext uri="{FF2B5EF4-FFF2-40B4-BE49-F238E27FC236}">
              <a16:creationId xmlns:a16="http://schemas.microsoft.com/office/drawing/2014/main" id="{00000000-0008-0000-0800-00001F000000}"/>
            </a:ext>
          </a:extLst>
        </xdr:cNvPr>
        <xdr:cNvSpPr/>
      </xdr:nvSpPr>
      <xdr:spPr>
        <a:xfrm>
          <a:off x="41415" y="33917300"/>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57981</xdr:colOff>
      <xdr:row>198</xdr:row>
      <xdr:rowOff>99396</xdr:rowOff>
    </xdr:from>
    <xdr:to>
      <xdr:col>0</xdr:col>
      <xdr:colOff>256276</xdr:colOff>
      <xdr:row>198</xdr:row>
      <xdr:rowOff>346997</xdr:rowOff>
    </xdr:to>
    <xdr:sp macro="" textlink="">
      <xdr:nvSpPr>
        <xdr:cNvPr id="32" name="Pfeil nach oben 31">
          <a:hlinkClick xmlns:r="http://schemas.openxmlformats.org/officeDocument/2006/relationships" r:id="rId12"/>
          <a:extLst>
            <a:ext uri="{FF2B5EF4-FFF2-40B4-BE49-F238E27FC236}">
              <a16:creationId xmlns:a16="http://schemas.microsoft.com/office/drawing/2014/main" id="{00000000-0008-0000-0800-000020000000}"/>
            </a:ext>
          </a:extLst>
        </xdr:cNvPr>
        <xdr:cNvSpPr/>
      </xdr:nvSpPr>
      <xdr:spPr>
        <a:xfrm>
          <a:off x="57981" y="53439396"/>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60904</xdr:colOff>
      <xdr:row>219</xdr:row>
      <xdr:rowOff>212912</xdr:rowOff>
    </xdr:from>
    <xdr:to>
      <xdr:col>0</xdr:col>
      <xdr:colOff>291353</xdr:colOff>
      <xdr:row>219</xdr:row>
      <xdr:rowOff>489742</xdr:rowOff>
    </xdr:to>
    <xdr:sp macro="" textlink="">
      <xdr:nvSpPr>
        <xdr:cNvPr id="33" name="Pfeil nach oben 32">
          <a:hlinkClick xmlns:r="http://schemas.openxmlformats.org/officeDocument/2006/relationships" r:id="rId12"/>
          <a:extLst>
            <a:ext uri="{FF2B5EF4-FFF2-40B4-BE49-F238E27FC236}">
              <a16:creationId xmlns:a16="http://schemas.microsoft.com/office/drawing/2014/main" id="{00000000-0008-0000-0800-000021000000}"/>
            </a:ext>
          </a:extLst>
        </xdr:cNvPr>
        <xdr:cNvSpPr/>
      </xdr:nvSpPr>
      <xdr:spPr>
        <a:xfrm>
          <a:off x="60904" y="58909324"/>
          <a:ext cx="230449" cy="276830"/>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66264</xdr:colOff>
      <xdr:row>260</xdr:row>
      <xdr:rowOff>0</xdr:rowOff>
    </xdr:from>
    <xdr:to>
      <xdr:col>0</xdr:col>
      <xdr:colOff>264559</xdr:colOff>
      <xdr:row>261</xdr:row>
      <xdr:rowOff>131645</xdr:rowOff>
    </xdr:to>
    <xdr:sp macro="" textlink="">
      <xdr:nvSpPr>
        <xdr:cNvPr id="34" name="Pfeil nach oben 33">
          <a:hlinkClick xmlns:r="http://schemas.openxmlformats.org/officeDocument/2006/relationships" r:id="rId12"/>
          <a:extLst>
            <a:ext uri="{FF2B5EF4-FFF2-40B4-BE49-F238E27FC236}">
              <a16:creationId xmlns:a16="http://schemas.microsoft.com/office/drawing/2014/main" id="{00000000-0008-0000-0800-000022000000}"/>
            </a:ext>
          </a:extLst>
        </xdr:cNvPr>
        <xdr:cNvSpPr/>
      </xdr:nvSpPr>
      <xdr:spPr>
        <a:xfrm>
          <a:off x="66264" y="62782174"/>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1</xdr:col>
      <xdr:colOff>3664324</xdr:colOff>
      <xdr:row>1</xdr:row>
      <xdr:rowOff>112059</xdr:rowOff>
    </xdr:from>
    <xdr:to>
      <xdr:col>2</xdr:col>
      <xdr:colOff>4056529</xdr:colOff>
      <xdr:row>2</xdr:row>
      <xdr:rowOff>123265</xdr:rowOff>
    </xdr:to>
    <xdr:sp macro="" textlink="">
      <xdr:nvSpPr>
        <xdr:cNvPr id="6" name="Rechteck 5">
          <a:hlinkClick xmlns:r="http://schemas.openxmlformats.org/officeDocument/2006/relationships" r:id="rId13" tooltip="For any question please contact CSN SERVICE - +49 375 60619 904 or csn.service@o-s.de"/>
          <a:extLst>
            <a:ext uri="{FF2B5EF4-FFF2-40B4-BE49-F238E27FC236}">
              <a16:creationId xmlns:a16="http://schemas.microsoft.com/office/drawing/2014/main" id="{00000000-0008-0000-0800-000006000000}"/>
            </a:ext>
          </a:extLst>
        </xdr:cNvPr>
        <xdr:cNvSpPr/>
      </xdr:nvSpPr>
      <xdr:spPr>
        <a:xfrm>
          <a:off x="4000500" y="560294"/>
          <a:ext cx="4728882" cy="14903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134472</xdr:colOff>
      <xdr:row>1</xdr:row>
      <xdr:rowOff>1036843</xdr:rowOff>
    </xdr:from>
    <xdr:to>
      <xdr:col>1</xdr:col>
      <xdr:colOff>2134721</xdr:colOff>
      <xdr:row>1</xdr:row>
      <xdr:rowOff>1198840</xdr:rowOff>
    </xdr:to>
    <xdr:sp macro="" textlink="">
      <xdr:nvSpPr>
        <xdr:cNvPr id="27" name="Rechteck 26">
          <a:hlinkClick xmlns:r="http://schemas.openxmlformats.org/officeDocument/2006/relationships" r:id="rId14"/>
          <a:extLst>
            <a:ext uri="{FF2B5EF4-FFF2-40B4-BE49-F238E27FC236}">
              <a16:creationId xmlns:a16="http://schemas.microsoft.com/office/drawing/2014/main" id="{AE0F7AF7-105A-4540-ACC2-222EA485C8DF}"/>
            </a:ext>
          </a:extLst>
        </xdr:cNvPr>
        <xdr:cNvSpPr/>
      </xdr:nvSpPr>
      <xdr:spPr>
        <a:xfrm>
          <a:off x="470648" y="1485078"/>
          <a:ext cx="2000249" cy="161997"/>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rtlCol="0" anchor="ctr"/>
        <a:lstStyle/>
        <a:p>
          <a:pPr algn="ctr"/>
          <a:r>
            <a:rPr lang="de-DE" sz="1100">
              <a:solidFill>
                <a:schemeClr val="tx1"/>
              </a:solidFill>
            </a:rPr>
            <a:t>status</a:t>
          </a:r>
          <a:r>
            <a:rPr lang="de-DE" sz="1100" baseline="0">
              <a:solidFill>
                <a:schemeClr val="tx1"/>
              </a:solidFill>
            </a:rPr>
            <a:t> of TISAX assessment</a:t>
          </a:r>
          <a:endParaRPr lang="de-DE" sz="1100">
            <a:solidFill>
              <a:schemeClr val="tx1"/>
            </a:solidFill>
          </a:endParaRPr>
        </a:p>
      </xdr:txBody>
    </xdr:sp>
    <xdr:clientData/>
  </xdr:twoCellAnchor>
  <xdr:twoCellAnchor>
    <xdr:from>
      <xdr:col>1</xdr:col>
      <xdr:colOff>2386855</xdr:colOff>
      <xdr:row>1</xdr:row>
      <xdr:rowOff>1389530</xdr:rowOff>
    </xdr:from>
    <xdr:to>
      <xdr:col>2</xdr:col>
      <xdr:colOff>392206</xdr:colOff>
      <xdr:row>2</xdr:row>
      <xdr:rowOff>112059</xdr:rowOff>
    </xdr:to>
    <xdr:sp macro="" textlink="">
      <xdr:nvSpPr>
        <xdr:cNvPr id="35" name="Rechteck 34">
          <a:hlinkClick xmlns:r="http://schemas.openxmlformats.org/officeDocument/2006/relationships" r:id="rId11"/>
          <a:extLst>
            <a:ext uri="{FF2B5EF4-FFF2-40B4-BE49-F238E27FC236}">
              <a16:creationId xmlns:a16="http://schemas.microsoft.com/office/drawing/2014/main" id="{F6F66AFA-3260-48F0-9039-C6804DEEB044}"/>
            </a:ext>
          </a:extLst>
        </xdr:cNvPr>
        <xdr:cNvSpPr/>
      </xdr:nvSpPr>
      <xdr:spPr>
        <a:xfrm>
          <a:off x="2723031" y="1837765"/>
          <a:ext cx="2342028" cy="201706"/>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lang="de-DE" sz="1100">
              <a:solidFill>
                <a:schemeClr val="tx1"/>
              </a:solidFill>
            </a:rPr>
            <a:t>Preparation</a:t>
          </a:r>
          <a:r>
            <a:rPr lang="de-DE" sz="1100" baseline="0">
              <a:solidFill>
                <a:schemeClr val="tx1"/>
              </a:solidFill>
            </a:rPr>
            <a:t> of s</a:t>
          </a:r>
          <a:r>
            <a:rPr lang="de-DE" sz="1100">
              <a:solidFill>
                <a:schemeClr val="tx1"/>
              </a:solidFill>
            </a:rPr>
            <a:t>ending the document</a:t>
          </a:r>
        </a:p>
      </xdr:txBody>
    </xdr:sp>
    <xdr:clientData/>
  </xdr:twoCellAnchor>
  <xdr:twoCellAnchor>
    <xdr:from>
      <xdr:col>0</xdr:col>
      <xdr:colOff>24364</xdr:colOff>
      <xdr:row>243</xdr:row>
      <xdr:rowOff>32160</xdr:rowOff>
    </xdr:from>
    <xdr:to>
      <xdr:col>0</xdr:col>
      <xdr:colOff>222659</xdr:colOff>
      <xdr:row>243</xdr:row>
      <xdr:rowOff>279761</xdr:rowOff>
    </xdr:to>
    <xdr:sp macro="" textlink="">
      <xdr:nvSpPr>
        <xdr:cNvPr id="36" name="Pfeil nach oben 31">
          <a:hlinkClick xmlns:r="http://schemas.openxmlformats.org/officeDocument/2006/relationships" r:id="rId12"/>
          <a:extLst>
            <a:ext uri="{FF2B5EF4-FFF2-40B4-BE49-F238E27FC236}">
              <a16:creationId xmlns:a16="http://schemas.microsoft.com/office/drawing/2014/main" id="{E3DA9058-6CAB-414C-8F97-300E18D39E25}"/>
            </a:ext>
          </a:extLst>
        </xdr:cNvPr>
        <xdr:cNvSpPr/>
      </xdr:nvSpPr>
      <xdr:spPr>
        <a:xfrm>
          <a:off x="24364" y="61899836"/>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0</xdr:col>
      <xdr:colOff>313471</xdr:colOff>
      <xdr:row>244</xdr:row>
      <xdr:rowOff>131061</xdr:rowOff>
    </xdr:from>
    <xdr:to>
      <xdr:col>1</xdr:col>
      <xdr:colOff>2487242</xdr:colOff>
      <xdr:row>245</xdr:row>
      <xdr:rowOff>280148</xdr:rowOff>
    </xdr:to>
    <xdr:sp macro="" textlink="">
      <xdr:nvSpPr>
        <xdr:cNvPr id="37" name="Pfeil nach links 4">
          <a:hlinkClick xmlns:r="http://schemas.openxmlformats.org/officeDocument/2006/relationships" r:id="rId15"/>
          <a:extLst>
            <a:ext uri="{FF2B5EF4-FFF2-40B4-BE49-F238E27FC236}">
              <a16:creationId xmlns:a16="http://schemas.microsoft.com/office/drawing/2014/main" id="{1B91EC89-A49C-43FA-AA40-A790434FC9E6}"/>
            </a:ext>
          </a:extLst>
        </xdr:cNvPr>
        <xdr:cNvSpPr/>
      </xdr:nvSpPr>
      <xdr:spPr>
        <a:xfrm>
          <a:off x="313471" y="60810914"/>
          <a:ext cx="2509947" cy="328381"/>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back - </a:t>
          </a:r>
          <a:r>
            <a:rPr lang="de-DE" sz="1000">
              <a:latin typeface="Tahoma" panose="020B0604030504040204" pitchFamily="34" charset="0"/>
              <a:ea typeface="Tahoma" panose="020B0604030504040204" pitchFamily="34" charset="0"/>
              <a:cs typeface="Tahoma" panose="020B0604030504040204" pitchFamily="34" charset="0"/>
            </a:rPr>
            <a:t> status</a:t>
          </a:r>
          <a:r>
            <a:rPr lang="de-DE" sz="1000" baseline="0">
              <a:latin typeface="Tahoma" panose="020B0604030504040204" pitchFamily="34" charset="0"/>
              <a:ea typeface="Tahoma" panose="020B0604030504040204" pitchFamily="34" charset="0"/>
              <a:cs typeface="Tahoma" panose="020B0604030504040204" pitchFamily="34" charset="0"/>
            </a:rPr>
            <a:t> of TISAX assessment</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84603</xdr:colOff>
      <xdr:row>67</xdr:row>
      <xdr:rowOff>85725</xdr:rowOff>
    </xdr:from>
    <xdr:to>
      <xdr:col>2</xdr:col>
      <xdr:colOff>2589678</xdr:colOff>
      <xdr:row>67</xdr:row>
      <xdr:rowOff>448235</xdr:rowOff>
    </xdr:to>
    <xdr:sp macro="" textlink="">
      <xdr:nvSpPr>
        <xdr:cNvPr id="38" name="Pfeil nach links 1">
          <a:hlinkClick xmlns:r="http://schemas.openxmlformats.org/officeDocument/2006/relationships" r:id="rId16"/>
          <a:extLst>
            <a:ext uri="{FF2B5EF4-FFF2-40B4-BE49-F238E27FC236}">
              <a16:creationId xmlns:a16="http://schemas.microsoft.com/office/drawing/2014/main" id="{BCA9DB4E-5104-410A-9F3B-0F2D6E8A7F2C}"/>
            </a:ext>
          </a:extLst>
        </xdr:cNvPr>
        <xdr:cNvSpPr/>
      </xdr:nvSpPr>
      <xdr:spPr>
        <a:xfrm>
          <a:off x="4757456" y="18541813"/>
          <a:ext cx="2505075" cy="362510"/>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latin typeface="+mn-lt"/>
              <a:ea typeface="+mn-ea"/>
              <a:cs typeface="+mn-cs"/>
            </a:rPr>
            <a:t>back</a:t>
          </a:r>
          <a:r>
            <a:rPr lang="de-DE" sz="1100" baseline="0">
              <a:latin typeface="+mn-lt"/>
              <a:ea typeface="+mn-ea"/>
              <a:cs typeface="+mn-cs"/>
            </a:rPr>
            <a:t> - overview of add on locations</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63873</xdr:colOff>
      <xdr:row>45</xdr:row>
      <xdr:rowOff>62214</xdr:rowOff>
    </xdr:from>
    <xdr:to>
      <xdr:col>0</xdr:col>
      <xdr:colOff>262168</xdr:colOff>
      <xdr:row>45</xdr:row>
      <xdr:rowOff>309815</xdr:rowOff>
    </xdr:to>
    <xdr:sp macro="" textlink="">
      <xdr:nvSpPr>
        <xdr:cNvPr id="39" name="Pfeil nach oben 28">
          <a:hlinkClick xmlns:r="http://schemas.openxmlformats.org/officeDocument/2006/relationships" r:id="rId12"/>
          <a:extLst>
            <a:ext uri="{FF2B5EF4-FFF2-40B4-BE49-F238E27FC236}">
              <a16:creationId xmlns:a16="http://schemas.microsoft.com/office/drawing/2014/main" id="{D3B7CFC9-7C93-4A3C-BDDD-5D612D3CA717}"/>
            </a:ext>
          </a:extLst>
        </xdr:cNvPr>
        <xdr:cNvSpPr/>
      </xdr:nvSpPr>
      <xdr:spPr>
        <a:xfrm>
          <a:off x="63873" y="10920714"/>
          <a:ext cx="198295" cy="247601"/>
        </a:xfrm>
        <a:prstGeom prst="up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de-DE" sz="1100"/>
        </a:p>
      </xdr:txBody>
    </xdr:sp>
    <xdr:clientData/>
  </xdr:twoCellAnchor>
  <xdr:twoCellAnchor editAs="oneCell">
    <xdr:from>
      <xdr:col>1</xdr:col>
      <xdr:colOff>3193677</xdr:colOff>
      <xdr:row>0</xdr:row>
      <xdr:rowOff>112059</xdr:rowOff>
    </xdr:from>
    <xdr:to>
      <xdr:col>2</xdr:col>
      <xdr:colOff>1624824</xdr:colOff>
      <xdr:row>0</xdr:row>
      <xdr:rowOff>380306</xdr:rowOff>
    </xdr:to>
    <xdr:pic>
      <xdr:nvPicPr>
        <xdr:cNvPr id="7" name="Grafik 6">
          <a:extLst>
            <a:ext uri="{FF2B5EF4-FFF2-40B4-BE49-F238E27FC236}">
              <a16:creationId xmlns:a16="http://schemas.microsoft.com/office/drawing/2014/main" id="{5991C3B5-AE63-4581-9F01-11323934D1FB}"/>
            </a:ext>
          </a:extLst>
        </xdr:cNvPr>
        <xdr:cNvPicPr>
          <a:picLocks noChangeAspect="1"/>
        </xdr:cNvPicPr>
      </xdr:nvPicPr>
      <xdr:blipFill>
        <a:blip xmlns:r="http://schemas.openxmlformats.org/officeDocument/2006/relationships" r:embed="rId17"/>
        <a:stretch>
          <a:fillRect/>
        </a:stretch>
      </xdr:blipFill>
      <xdr:spPr>
        <a:xfrm>
          <a:off x="3529853" y="112059"/>
          <a:ext cx="2767824" cy="26824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0</xdr:row>
      <xdr:rowOff>133350</xdr:rowOff>
    </xdr:from>
    <xdr:to>
      <xdr:col>0</xdr:col>
      <xdr:colOff>657225</xdr:colOff>
      <xdr:row>2</xdr:row>
      <xdr:rowOff>31172</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66675" y="133350"/>
          <a:ext cx="590550" cy="259772"/>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zurück</a:t>
          </a:r>
        </a:p>
      </xdr:txBody>
    </xdr:sp>
    <xdr:clientData/>
  </xdr:twoCellAnchor>
  <xdr:twoCellAnchor>
    <xdr:from>
      <xdr:col>4</xdr:col>
      <xdr:colOff>400050</xdr:colOff>
      <xdr:row>0</xdr:row>
      <xdr:rowOff>152400</xdr:rowOff>
    </xdr:from>
    <xdr:to>
      <xdr:col>6</xdr:col>
      <xdr:colOff>1732</xdr:colOff>
      <xdr:row>2</xdr:row>
      <xdr:rowOff>40697</xdr:rowOff>
    </xdr:to>
    <xdr:sp macro="" textlink="">
      <xdr:nvSpPr>
        <xdr:cNvPr id="3" name="Pfeil nach links 2">
          <a:hlinkClick xmlns:r="http://schemas.openxmlformats.org/officeDocument/2006/relationships" r:id="rId2"/>
          <a:extLst>
            <a:ext uri="{FF2B5EF4-FFF2-40B4-BE49-F238E27FC236}">
              <a16:creationId xmlns:a16="http://schemas.microsoft.com/office/drawing/2014/main" id="{00000000-0008-0000-0D00-000003000000}"/>
            </a:ext>
          </a:extLst>
        </xdr:cNvPr>
        <xdr:cNvSpPr/>
      </xdr:nvSpPr>
      <xdr:spPr>
        <a:xfrm flipH="1">
          <a:off x="7219950" y="152400"/>
          <a:ext cx="1811482" cy="297872"/>
        </a:xfrm>
        <a:prstGeom prst="leftArrow">
          <a:avLst>
            <a:gd name="adj1" fmla="val 56395"/>
            <a:gd name="adj2" fmla="val 50000"/>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baseline="0"/>
            <a:t>Applikationen</a:t>
          </a:r>
          <a:endParaRPr lang="de-DE"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450274</xdr:colOff>
      <xdr:row>5</xdr:row>
      <xdr:rowOff>60614</xdr:rowOff>
    </xdr:from>
    <xdr:to>
      <xdr:col>5</xdr:col>
      <xdr:colOff>428626</xdr:colOff>
      <xdr:row>10</xdr:row>
      <xdr:rowOff>51089</xdr:rowOff>
    </xdr:to>
    <xdr:grpSp>
      <xdr:nvGrpSpPr>
        <xdr:cNvPr id="6" name="Gruppieren 5">
          <a:hlinkClick xmlns:r="http://schemas.openxmlformats.org/officeDocument/2006/relationships" r:id="rId1"/>
          <a:extLst>
            <a:ext uri="{FF2B5EF4-FFF2-40B4-BE49-F238E27FC236}">
              <a16:creationId xmlns:a16="http://schemas.microsoft.com/office/drawing/2014/main" id="{00000000-0008-0000-0E00-000006000000}"/>
            </a:ext>
          </a:extLst>
        </xdr:cNvPr>
        <xdr:cNvGrpSpPr/>
      </xdr:nvGrpSpPr>
      <xdr:grpSpPr>
        <a:xfrm>
          <a:off x="0" y="1451264"/>
          <a:ext cx="0" cy="942975"/>
          <a:chOff x="6762750" y="580158"/>
          <a:chExt cx="1183868" cy="942975"/>
        </a:xfrm>
      </xdr:grpSpPr>
      <xdr:sp macro="" textlink="">
        <xdr:nvSpPr>
          <xdr:cNvPr id="1038" name="AutoShape 14">
            <a:extLst>
              <a:ext uri="{FF2B5EF4-FFF2-40B4-BE49-F238E27FC236}">
                <a16:creationId xmlns:a16="http://schemas.microsoft.com/office/drawing/2014/main" id="{00000000-0008-0000-0E00-00000E040000}"/>
              </a:ext>
            </a:extLst>
          </xdr:cNvPr>
          <xdr:cNvSpPr>
            <a:spLocks noChangeAspect="1" noChangeArrowheads="1" noTextEdit="1"/>
          </xdr:cNvSpPr>
        </xdr:nvSpPr>
        <xdr:spPr bwMode="auto">
          <a:xfrm>
            <a:off x="6754109" y="571499"/>
            <a:ext cx="1149303" cy="94297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miter lim="800000"/>
            <a:headEnd type="none" w="med" len="med"/>
            <a:tailEnd type="none" w="med" len="med"/>
          </a:ln>
        </xdr:spPr>
      </xdr:sp>
      <xdr:sp macro="" textlink="">
        <xdr:nvSpPr>
          <xdr:cNvPr id="1040" name="Rectangle 16">
            <a:extLst>
              <a:ext uri="{FF2B5EF4-FFF2-40B4-BE49-F238E27FC236}">
                <a16:creationId xmlns:a16="http://schemas.microsoft.com/office/drawing/2014/main" id="{00000000-0008-0000-0E00-000010040000}"/>
              </a:ext>
            </a:extLst>
          </xdr:cNvPr>
          <xdr:cNvSpPr>
            <a:spLocks noChangeArrowheads="1"/>
          </xdr:cNvSpPr>
        </xdr:nvSpPr>
        <xdr:spPr bwMode="auto">
          <a:xfrm>
            <a:off x="6795943" y="608733"/>
            <a:ext cx="1139612" cy="904875"/>
          </a:xfrm>
          <a:prstGeom prst="rect">
            <a:avLst/>
          </a:prstGeom>
          <a:solidFill>
            <a:srgbClr val="CDCDCD"/>
          </a:solid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10" name="Grafik 9">
            <a:extLst>
              <a:ext uri="{FF2B5EF4-FFF2-40B4-BE49-F238E27FC236}">
                <a16:creationId xmlns:a16="http://schemas.microsoft.com/office/drawing/2014/main" id="{00000000-0008-0000-0E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95943" y="608733"/>
            <a:ext cx="1139612"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42" name="Rectangle 18">
            <a:extLst>
              <a:ext uri="{FF2B5EF4-FFF2-40B4-BE49-F238E27FC236}">
                <a16:creationId xmlns:a16="http://schemas.microsoft.com/office/drawing/2014/main" id="{00000000-0008-0000-0E00-000012040000}"/>
              </a:ext>
            </a:extLst>
          </xdr:cNvPr>
          <xdr:cNvSpPr>
            <a:spLocks noChangeArrowheads="1"/>
          </xdr:cNvSpPr>
        </xdr:nvSpPr>
        <xdr:spPr bwMode="auto">
          <a:xfrm>
            <a:off x="6795943" y="608733"/>
            <a:ext cx="1107469" cy="904875"/>
          </a:xfrm>
          <a:prstGeom prst="rect">
            <a:avLst/>
          </a:prstGeom>
          <a:solidFill>
            <a:srgbClr val="CDCDCD"/>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3" name="Rectangle 19">
            <a:extLst>
              <a:ext uri="{FF2B5EF4-FFF2-40B4-BE49-F238E27FC236}">
                <a16:creationId xmlns:a16="http://schemas.microsoft.com/office/drawing/2014/main" id="{00000000-0008-0000-0E00-000013040000}"/>
              </a:ext>
            </a:extLst>
          </xdr:cNvPr>
          <xdr:cNvSpPr>
            <a:spLocks noChangeArrowheads="1"/>
          </xdr:cNvSpPr>
        </xdr:nvSpPr>
        <xdr:spPr bwMode="auto">
          <a:xfrm>
            <a:off x="6784880" y="589683"/>
            <a:ext cx="1109891" cy="904875"/>
          </a:xfrm>
          <a:prstGeom prst="rect">
            <a:avLst/>
          </a:prstGeom>
          <a:solidFill>
            <a:srgbClr val="E1EBF3"/>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044" name="Oval 20">
            <a:extLst>
              <a:ext uri="{FF2B5EF4-FFF2-40B4-BE49-F238E27FC236}">
                <a16:creationId xmlns:a16="http://schemas.microsoft.com/office/drawing/2014/main" id="{00000000-0008-0000-0E00-000014040000}"/>
              </a:ext>
            </a:extLst>
          </xdr:cNvPr>
          <xdr:cNvSpPr>
            <a:spLocks noChangeArrowheads="1"/>
          </xdr:cNvSpPr>
        </xdr:nvSpPr>
        <xdr:spPr bwMode="auto">
          <a:xfrm>
            <a:off x="7093627" y="624320"/>
            <a:ext cx="464131" cy="428625"/>
          </a:xfrm>
          <a:prstGeom prst="ellipse">
            <a:avLst/>
          </a:prstGeom>
          <a:solidFill>
            <a:srgbClr val="000080"/>
          </a:solidFill>
          <a:ln w="0">
            <a:solidFill>
              <a:srgbClr val="000000"/>
            </a:solidFill>
            <a:prstDash val="solid"/>
            <a:round/>
            <a:headEnd/>
            <a:tailEnd/>
          </a:ln>
        </xdr:spPr>
      </xdr:sp>
      <xdr:sp macro="" textlink="">
        <xdr:nvSpPr>
          <xdr:cNvPr id="1045" name="Freeform 21">
            <a:extLst>
              <a:ext uri="{FF2B5EF4-FFF2-40B4-BE49-F238E27FC236}">
                <a16:creationId xmlns:a16="http://schemas.microsoft.com/office/drawing/2014/main" id="{00000000-0008-0000-0E00-000015040000}"/>
              </a:ext>
            </a:extLst>
          </xdr:cNvPr>
          <xdr:cNvSpPr>
            <a:spLocks noEditPoints="1"/>
          </xdr:cNvSpPr>
        </xdr:nvSpPr>
        <xdr:spPr bwMode="auto">
          <a:xfrm>
            <a:off x="7242306" y="690995"/>
            <a:ext cx="165963" cy="295275"/>
          </a:xfrm>
          <a:custGeom>
            <a:avLst/>
            <a:gdLst>
              <a:gd name="T0" fmla="*/ 198 w 249"/>
              <a:gd name="T1" fmla="*/ 74 h 511"/>
              <a:gd name="T2" fmla="*/ 124 w 249"/>
              <a:gd name="T3" fmla="*/ 0 h 511"/>
              <a:gd name="T4" fmla="*/ 51 w 249"/>
              <a:gd name="T5" fmla="*/ 74 h 511"/>
              <a:gd name="T6" fmla="*/ 124 w 249"/>
              <a:gd name="T7" fmla="*/ 148 h 511"/>
              <a:gd name="T8" fmla="*/ 198 w 249"/>
              <a:gd name="T9" fmla="*/ 74 h 511"/>
              <a:gd name="T10" fmla="*/ 15 w 249"/>
              <a:gd name="T11" fmla="*/ 193 h 511"/>
              <a:gd name="T12" fmla="*/ 15 w 249"/>
              <a:gd name="T13" fmla="*/ 228 h 511"/>
              <a:gd name="T14" fmla="*/ 46 w 249"/>
              <a:gd name="T15" fmla="*/ 228 h 511"/>
              <a:gd name="T16" fmla="*/ 46 w 249"/>
              <a:gd name="T17" fmla="*/ 475 h 511"/>
              <a:gd name="T18" fmla="*/ 0 w 249"/>
              <a:gd name="T19" fmla="*/ 475 h 511"/>
              <a:gd name="T20" fmla="*/ 0 w 249"/>
              <a:gd name="T21" fmla="*/ 511 h 511"/>
              <a:gd name="T22" fmla="*/ 249 w 249"/>
              <a:gd name="T23" fmla="*/ 511 h 511"/>
              <a:gd name="T24" fmla="*/ 249 w 249"/>
              <a:gd name="T25" fmla="*/ 475 h 511"/>
              <a:gd name="T26" fmla="*/ 202 w 249"/>
              <a:gd name="T27" fmla="*/ 475 h 511"/>
              <a:gd name="T28" fmla="*/ 202 w 249"/>
              <a:gd name="T29" fmla="*/ 193 h 511"/>
              <a:gd name="T30" fmla="*/ 15 w 249"/>
              <a:gd name="T31" fmla="*/ 193 h 51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249" h="511">
                <a:moveTo>
                  <a:pt x="198" y="74"/>
                </a:moveTo>
                <a:cubicBezTo>
                  <a:pt x="198" y="33"/>
                  <a:pt x="165" y="0"/>
                  <a:pt x="124" y="0"/>
                </a:cubicBezTo>
                <a:cubicBezTo>
                  <a:pt x="84" y="0"/>
                  <a:pt x="51" y="33"/>
                  <a:pt x="51" y="74"/>
                </a:cubicBezTo>
                <a:cubicBezTo>
                  <a:pt x="51" y="115"/>
                  <a:pt x="84" y="148"/>
                  <a:pt x="124" y="148"/>
                </a:cubicBezTo>
                <a:cubicBezTo>
                  <a:pt x="165" y="148"/>
                  <a:pt x="198" y="115"/>
                  <a:pt x="198" y="74"/>
                </a:cubicBezTo>
                <a:close/>
                <a:moveTo>
                  <a:pt x="15" y="193"/>
                </a:moveTo>
                <a:lnTo>
                  <a:pt x="15" y="228"/>
                </a:lnTo>
                <a:lnTo>
                  <a:pt x="46" y="228"/>
                </a:lnTo>
                <a:lnTo>
                  <a:pt x="46" y="475"/>
                </a:lnTo>
                <a:lnTo>
                  <a:pt x="0" y="475"/>
                </a:lnTo>
                <a:lnTo>
                  <a:pt x="0" y="511"/>
                </a:lnTo>
                <a:lnTo>
                  <a:pt x="249" y="511"/>
                </a:lnTo>
                <a:lnTo>
                  <a:pt x="249" y="475"/>
                </a:lnTo>
                <a:lnTo>
                  <a:pt x="202" y="475"/>
                </a:lnTo>
                <a:lnTo>
                  <a:pt x="202" y="193"/>
                </a:lnTo>
                <a:lnTo>
                  <a:pt x="15" y="193"/>
                </a:lnTo>
                <a:close/>
              </a:path>
            </a:pathLst>
          </a:custGeom>
          <a:solidFill>
            <a:srgbClr val="FFFFFF"/>
          </a:solidFill>
          <a:ln w="0">
            <a:solidFill>
              <a:srgbClr val="000000"/>
            </a:solidFill>
            <a:prstDash val="solid"/>
            <a:round/>
            <a:headEnd/>
            <a:tailEnd/>
          </a:ln>
        </xdr:spPr>
      </xdr:sp>
      <xdr:sp macro="" textlink="">
        <xdr:nvSpPr>
          <xdr:cNvPr id="1046" name="Rectangle 22">
            <a:extLst>
              <a:ext uri="{FF2B5EF4-FFF2-40B4-BE49-F238E27FC236}">
                <a16:creationId xmlns:a16="http://schemas.microsoft.com/office/drawing/2014/main" id="{00000000-0008-0000-0E00-000016040000}"/>
              </a:ext>
            </a:extLst>
          </xdr:cNvPr>
          <xdr:cNvSpPr>
            <a:spLocks noChangeArrowheads="1"/>
          </xdr:cNvSpPr>
        </xdr:nvSpPr>
        <xdr:spPr bwMode="auto">
          <a:xfrm>
            <a:off x="6876279" y="1105764"/>
            <a:ext cx="101790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noAutofit/>
          </a:bodyPr>
          <a:lstStyle/>
          <a:p>
            <a:pPr algn="ctr" rtl="0">
              <a:defRPr sz="1000"/>
            </a:pPr>
            <a:r>
              <a:rPr lang="de-DE" sz="700" b="0" i="0" u="none" strike="noStrike" baseline="0">
                <a:solidFill>
                  <a:srgbClr val="000000"/>
                </a:solidFill>
                <a:latin typeface="Calibri"/>
              </a:rPr>
              <a:t>Beantragung und Suche </a:t>
            </a:r>
            <a:br>
              <a:rPr lang="de-DE" sz="700" b="0" i="0" u="none" strike="noStrike" baseline="0">
                <a:solidFill>
                  <a:srgbClr val="000000"/>
                </a:solidFill>
                <a:latin typeface="Calibri"/>
              </a:rPr>
            </a:br>
            <a:r>
              <a:rPr lang="de-DE" sz="700" b="0" i="0" u="none" strike="noStrike" baseline="0">
                <a:solidFill>
                  <a:srgbClr val="000000"/>
                </a:solidFill>
                <a:latin typeface="Calibri"/>
              </a:rPr>
              <a:t>der DUNS Nummer</a:t>
            </a:r>
          </a:p>
        </xdr:txBody>
      </xdr:sp>
      <xdr:sp macro="" textlink="">
        <xdr:nvSpPr>
          <xdr:cNvPr id="1047" name="Rectangle 23">
            <a:hlinkClick xmlns:r="http://schemas.openxmlformats.org/officeDocument/2006/relationships" r:id="rId1"/>
            <a:extLst>
              <a:ext uri="{FF2B5EF4-FFF2-40B4-BE49-F238E27FC236}">
                <a16:creationId xmlns:a16="http://schemas.microsoft.com/office/drawing/2014/main" id="{00000000-0008-0000-0E00-000017040000}"/>
              </a:ext>
            </a:extLst>
          </xdr:cNvPr>
          <xdr:cNvSpPr>
            <a:spLocks noChangeArrowheads="1"/>
          </xdr:cNvSpPr>
        </xdr:nvSpPr>
        <xdr:spPr bwMode="auto">
          <a:xfrm>
            <a:off x="6950841" y="1342158"/>
            <a:ext cx="896199"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noAutofit/>
          </a:bodyPr>
          <a:lstStyle/>
          <a:p>
            <a:pPr algn="ctr" rtl="0">
              <a:defRPr sz="1000"/>
            </a:pPr>
            <a:r>
              <a:rPr lang="de-DE" sz="800" b="0" i="0" u="none" strike="noStrike" baseline="0">
                <a:solidFill>
                  <a:srgbClr val="000000"/>
                </a:solidFill>
                <a:latin typeface="Calibri"/>
              </a:rPr>
              <a:t>www.upik.de</a:t>
            </a:r>
          </a:p>
        </xdr:txBody>
      </xdr:sp>
    </xdr:grpSp>
    <xdr:clientData/>
  </xdr:twoCellAnchor>
  <xdr:twoCellAnchor>
    <xdr:from>
      <xdr:col>4</xdr:col>
      <xdr:colOff>173174</xdr:colOff>
      <xdr:row>0</xdr:row>
      <xdr:rowOff>149802</xdr:rowOff>
    </xdr:from>
    <xdr:to>
      <xdr:col>5</xdr:col>
      <xdr:colOff>865897</xdr:colOff>
      <xdr:row>2</xdr:row>
      <xdr:rowOff>45891</xdr:rowOff>
    </xdr:to>
    <xdr:sp macro="" textlink="">
      <xdr:nvSpPr>
        <xdr:cNvPr id="15" name="Pfeil nach links 14">
          <a:hlinkClick xmlns:r="http://schemas.openxmlformats.org/officeDocument/2006/relationships" r:id="rId3"/>
          <a:extLst>
            <a:ext uri="{FF2B5EF4-FFF2-40B4-BE49-F238E27FC236}">
              <a16:creationId xmlns:a16="http://schemas.microsoft.com/office/drawing/2014/main" id="{00000000-0008-0000-0E00-00000F000000}"/>
            </a:ext>
          </a:extLst>
        </xdr:cNvPr>
        <xdr:cNvSpPr/>
      </xdr:nvSpPr>
      <xdr:spPr>
        <a:xfrm flipH="1">
          <a:off x="7174049" y="149802"/>
          <a:ext cx="1302323" cy="277089"/>
        </a:xfrm>
        <a:prstGeom prst="leftArrow">
          <a:avLst>
            <a:gd name="adj1" fmla="val 50000"/>
            <a:gd name="adj2" fmla="val 64455"/>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Ansprechpartner</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86591</xdr:colOff>
      <xdr:row>0</xdr:row>
      <xdr:rowOff>138545</xdr:rowOff>
    </xdr:from>
    <xdr:to>
      <xdr:col>0</xdr:col>
      <xdr:colOff>796637</xdr:colOff>
      <xdr:row>2</xdr:row>
      <xdr:rowOff>4333</xdr:rowOff>
    </xdr:to>
    <xdr:sp macro="" textlink="">
      <xdr:nvSpPr>
        <xdr:cNvPr id="16" name="Pfeil nach links 15">
          <a:hlinkClick xmlns:r="http://schemas.openxmlformats.org/officeDocument/2006/relationships" r:id="rId4"/>
          <a:extLst>
            <a:ext uri="{FF2B5EF4-FFF2-40B4-BE49-F238E27FC236}">
              <a16:creationId xmlns:a16="http://schemas.microsoft.com/office/drawing/2014/main" id="{00000000-0008-0000-0E00-000010000000}"/>
            </a:ext>
          </a:extLst>
        </xdr:cNvPr>
        <xdr:cNvSpPr/>
      </xdr:nvSpPr>
      <xdr:spPr>
        <a:xfrm>
          <a:off x="86591" y="138545"/>
          <a:ext cx="710046" cy="246788"/>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zurück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39832</xdr:colOff>
      <xdr:row>0</xdr:row>
      <xdr:rowOff>109105</xdr:rowOff>
    </xdr:from>
    <xdr:to>
      <xdr:col>0</xdr:col>
      <xdr:colOff>749878</xdr:colOff>
      <xdr:row>1</xdr:row>
      <xdr:rowOff>165393</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a:xfrm>
          <a:off x="39832" y="109105"/>
          <a:ext cx="710046" cy="275363"/>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back</a:t>
          </a:r>
        </a:p>
      </xdr:txBody>
    </xdr:sp>
    <xdr:clientData/>
  </xdr:twoCellAnchor>
  <xdr:twoCellAnchor>
    <xdr:from>
      <xdr:col>6</xdr:col>
      <xdr:colOff>47625</xdr:colOff>
      <xdr:row>0</xdr:row>
      <xdr:rowOff>171450</xdr:rowOff>
    </xdr:from>
    <xdr:to>
      <xdr:col>8</xdr:col>
      <xdr:colOff>55405</xdr:colOff>
      <xdr:row>2</xdr:row>
      <xdr:rowOff>25976</xdr:rowOff>
    </xdr:to>
    <xdr:sp macro="" textlink="">
      <xdr:nvSpPr>
        <xdr:cNvPr id="10" name="Pfeil nach links 9">
          <a:hlinkClick xmlns:r="http://schemas.openxmlformats.org/officeDocument/2006/relationships" r:id="rId2"/>
          <a:extLst>
            <a:ext uri="{FF2B5EF4-FFF2-40B4-BE49-F238E27FC236}">
              <a16:creationId xmlns:a16="http://schemas.microsoft.com/office/drawing/2014/main" id="{00000000-0008-0000-0100-00000A000000}"/>
            </a:ext>
          </a:extLst>
        </xdr:cNvPr>
        <xdr:cNvSpPr/>
      </xdr:nvSpPr>
      <xdr:spPr>
        <a:xfrm flipH="1">
          <a:off x="11328538" y="171450"/>
          <a:ext cx="1233606" cy="285222"/>
        </a:xfrm>
        <a:prstGeom prst="leftArrow">
          <a:avLst>
            <a:gd name="adj1" fmla="val 50000"/>
            <a:gd name="adj2" fmla="val 58647"/>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contacts</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41412</xdr:colOff>
      <xdr:row>2</xdr:row>
      <xdr:rowOff>41414</xdr:rowOff>
    </xdr:from>
    <xdr:to>
      <xdr:col>8</xdr:col>
      <xdr:colOff>74544</xdr:colOff>
      <xdr:row>3</xdr:row>
      <xdr:rowOff>124240</xdr:rowOff>
    </xdr:to>
    <xdr:sp macro="" textlink="">
      <xdr:nvSpPr>
        <xdr:cNvPr id="11" name="Pfeil nach links 14">
          <a:hlinkClick xmlns:r="http://schemas.openxmlformats.org/officeDocument/2006/relationships" r:id="rId3"/>
          <a:extLst>
            <a:ext uri="{FF2B5EF4-FFF2-40B4-BE49-F238E27FC236}">
              <a16:creationId xmlns:a16="http://schemas.microsoft.com/office/drawing/2014/main" id="{4A284A10-F7B5-4CC3-A99A-B40FB4CF6049}"/>
            </a:ext>
          </a:extLst>
        </xdr:cNvPr>
        <xdr:cNvSpPr/>
      </xdr:nvSpPr>
      <xdr:spPr>
        <a:xfrm flipH="1">
          <a:off x="11322325" y="472110"/>
          <a:ext cx="1258958" cy="273326"/>
        </a:xfrm>
        <a:prstGeom prst="leftArrow">
          <a:avLst>
            <a:gd name="adj1" fmla="val 50000"/>
            <a:gd name="adj2" fmla="val 64455"/>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TISAX status </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33129</xdr:colOff>
      <xdr:row>3</xdr:row>
      <xdr:rowOff>140803</xdr:rowOff>
    </xdr:from>
    <xdr:to>
      <xdr:col>8</xdr:col>
      <xdr:colOff>99390</xdr:colOff>
      <xdr:row>4</xdr:row>
      <xdr:rowOff>82826</xdr:rowOff>
    </xdr:to>
    <xdr:sp macro="" textlink="">
      <xdr:nvSpPr>
        <xdr:cNvPr id="12" name="Pfeil nach links 14">
          <a:hlinkClick xmlns:r="http://schemas.openxmlformats.org/officeDocument/2006/relationships" r:id="rId4"/>
          <a:extLst>
            <a:ext uri="{FF2B5EF4-FFF2-40B4-BE49-F238E27FC236}">
              <a16:creationId xmlns:a16="http://schemas.microsoft.com/office/drawing/2014/main" id="{DF186B25-3A7F-418C-B37D-637DCC1F85C1}"/>
            </a:ext>
          </a:extLst>
        </xdr:cNvPr>
        <xdr:cNvSpPr/>
      </xdr:nvSpPr>
      <xdr:spPr>
        <a:xfrm flipH="1">
          <a:off x="11314042" y="761999"/>
          <a:ext cx="1292087" cy="306457"/>
        </a:xfrm>
        <a:prstGeom prst="leftArrow">
          <a:avLst>
            <a:gd name="adj1" fmla="val 50000"/>
            <a:gd name="adj2" fmla="val 64455"/>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further locations </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1211189</xdr:colOff>
      <xdr:row>17</xdr:row>
      <xdr:rowOff>132021</xdr:rowOff>
    </xdr:from>
    <xdr:to>
      <xdr:col>3</xdr:col>
      <xdr:colOff>565146</xdr:colOff>
      <xdr:row>20</xdr:row>
      <xdr:rowOff>550</xdr:rowOff>
    </xdr:to>
    <xdr:grpSp>
      <xdr:nvGrpSpPr>
        <xdr:cNvPr id="4" name="Gruppieren 3">
          <a:extLst>
            <a:ext uri="{FF2B5EF4-FFF2-40B4-BE49-F238E27FC236}">
              <a16:creationId xmlns:a16="http://schemas.microsoft.com/office/drawing/2014/main" id="{A03D196E-5BAD-48FF-93C1-94DD2AF82384}"/>
            </a:ext>
          </a:extLst>
        </xdr:cNvPr>
        <xdr:cNvGrpSpPr/>
      </xdr:nvGrpSpPr>
      <xdr:grpSpPr>
        <a:xfrm>
          <a:off x="6888089" y="4122996"/>
          <a:ext cx="1420882" cy="440029"/>
          <a:chOff x="6892416" y="4080314"/>
          <a:chExt cx="1424609" cy="603444"/>
        </a:xfrm>
      </xdr:grpSpPr>
      <xdr:sp macro="" textlink="">
        <xdr:nvSpPr>
          <xdr:cNvPr id="14" name="Textfeld 13">
            <a:hlinkClick xmlns:r="http://schemas.openxmlformats.org/officeDocument/2006/relationships" r:id="rId5"/>
            <a:extLst>
              <a:ext uri="{FF2B5EF4-FFF2-40B4-BE49-F238E27FC236}">
                <a16:creationId xmlns:a16="http://schemas.microsoft.com/office/drawing/2014/main" id="{CEF24307-2D93-4543-9E7F-976678F06D6B}"/>
              </a:ext>
            </a:extLst>
          </xdr:cNvPr>
          <xdr:cNvSpPr txBox="1"/>
        </xdr:nvSpPr>
        <xdr:spPr>
          <a:xfrm>
            <a:off x="6892416" y="4126433"/>
            <a:ext cx="1424609" cy="4560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l"/>
            <a:r>
              <a:rPr lang="de-DE" sz="1000"/>
              <a:t> search</a:t>
            </a:r>
            <a:r>
              <a:rPr lang="de-DE" sz="1000" baseline="0"/>
              <a:t> &amp; set-up </a:t>
            </a:r>
            <a:br>
              <a:rPr lang="de-DE" sz="1000" baseline="0"/>
            </a:br>
            <a:r>
              <a:rPr lang="de-DE" sz="1000" baseline="0"/>
              <a:t> DUNS number</a:t>
            </a:r>
            <a:endParaRPr lang="de-DE" sz="1000"/>
          </a:p>
        </xdr:txBody>
      </xdr:sp>
      <xdr:pic>
        <xdr:nvPicPr>
          <xdr:cNvPr id="15" name="Grafik 14">
            <a:hlinkClick xmlns:r="http://schemas.openxmlformats.org/officeDocument/2006/relationships" r:id="rId5"/>
            <a:extLst>
              <a:ext uri="{FF2B5EF4-FFF2-40B4-BE49-F238E27FC236}">
                <a16:creationId xmlns:a16="http://schemas.microsoft.com/office/drawing/2014/main" id="{0D5FE2EA-7D60-4F79-AA63-D7E8360C92A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7807126" y="4080314"/>
            <a:ext cx="507969" cy="603444"/>
          </a:xfrm>
          <a:prstGeom prst="rect">
            <a:avLst/>
          </a:prstGeom>
        </xdr:spPr>
      </xdr:pic>
    </xdr:grpSp>
    <xdr:clientData/>
  </xdr:twoCellAnchor>
  <xdr:twoCellAnchor editAs="oneCell">
    <xdr:from>
      <xdr:col>0</xdr:col>
      <xdr:colOff>853108</xdr:colOff>
      <xdr:row>0</xdr:row>
      <xdr:rowOff>157370</xdr:rowOff>
    </xdr:from>
    <xdr:to>
      <xdr:col>1</xdr:col>
      <xdr:colOff>191596</xdr:colOff>
      <xdr:row>1</xdr:row>
      <xdr:rowOff>140804</xdr:rowOff>
    </xdr:to>
    <xdr:pic>
      <xdr:nvPicPr>
        <xdr:cNvPr id="3" name="Grafik 2">
          <a:extLst>
            <a:ext uri="{FF2B5EF4-FFF2-40B4-BE49-F238E27FC236}">
              <a16:creationId xmlns:a16="http://schemas.microsoft.com/office/drawing/2014/main" id="{080B1C9F-6EBA-4C84-8B4A-E9FEBAE0C394}"/>
            </a:ext>
          </a:extLst>
        </xdr:cNvPr>
        <xdr:cNvPicPr>
          <a:picLocks noChangeAspect="1"/>
        </xdr:cNvPicPr>
      </xdr:nvPicPr>
      <xdr:blipFill>
        <a:blip xmlns:r="http://schemas.openxmlformats.org/officeDocument/2006/relationships" r:embed="rId7"/>
        <a:stretch>
          <a:fillRect/>
        </a:stretch>
      </xdr:blipFill>
      <xdr:spPr>
        <a:xfrm>
          <a:off x="853108" y="157370"/>
          <a:ext cx="2005488" cy="1987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95249</xdr:rowOff>
    </xdr:from>
    <xdr:to>
      <xdr:col>1</xdr:col>
      <xdr:colOff>771525</xdr:colOff>
      <xdr:row>1</xdr:row>
      <xdr:rowOff>209549</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5250" y="95249"/>
          <a:ext cx="1733550" cy="295275"/>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back to company data</a:t>
          </a:r>
        </a:p>
      </xdr:txBody>
    </xdr:sp>
    <xdr:clientData/>
  </xdr:twoCellAnchor>
  <xdr:twoCellAnchor editAs="oneCell">
    <xdr:from>
      <xdr:col>1</xdr:col>
      <xdr:colOff>1009650</xdr:colOff>
      <xdr:row>0</xdr:row>
      <xdr:rowOff>104775</xdr:rowOff>
    </xdr:from>
    <xdr:to>
      <xdr:col>2</xdr:col>
      <xdr:colOff>1933575</xdr:colOff>
      <xdr:row>1</xdr:row>
      <xdr:rowOff>154163</xdr:rowOff>
    </xdr:to>
    <xdr:pic>
      <xdr:nvPicPr>
        <xdr:cNvPr id="4" name="Grafik 3">
          <a:extLst>
            <a:ext uri="{FF2B5EF4-FFF2-40B4-BE49-F238E27FC236}">
              <a16:creationId xmlns:a16="http://schemas.microsoft.com/office/drawing/2014/main" id="{3869DF69-7492-4D9B-970C-499B518671D5}"/>
            </a:ext>
          </a:extLst>
        </xdr:cNvPr>
        <xdr:cNvPicPr>
          <a:picLocks noChangeAspect="1"/>
        </xdr:cNvPicPr>
      </xdr:nvPicPr>
      <xdr:blipFill>
        <a:blip xmlns:r="http://schemas.openxmlformats.org/officeDocument/2006/relationships" r:embed="rId2"/>
        <a:stretch>
          <a:fillRect/>
        </a:stretch>
      </xdr:blipFill>
      <xdr:spPr>
        <a:xfrm>
          <a:off x="2066925" y="104775"/>
          <a:ext cx="2324100" cy="230363"/>
        </a:xfrm>
        <a:prstGeom prst="rect">
          <a:avLst/>
        </a:prstGeom>
      </xdr:spPr>
    </xdr:pic>
    <xdr:clientData/>
  </xdr:twoCellAnchor>
  <xdr:twoCellAnchor>
    <xdr:from>
      <xdr:col>6</xdr:col>
      <xdr:colOff>1524000</xdr:colOff>
      <xdr:row>1</xdr:row>
      <xdr:rowOff>104776</xdr:rowOff>
    </xdr:from>
    <xdr:to>
      <xdr:col>8</xdr:col>
      <xdr:colOff>381000</xdr:colOff>
      <xdr:row>2</xdr:row>
      <xdr:rowOff>259772</xdr:rowOff>
    </xdr:to>
    <xdr:sp macro="" textlink="">
      <xdr:nvSpPr>
        <xdr:cNvPr id="6" name="Pfeil nach links 2">
          <a:hlinkClick xmlns:r="http://schemas.openxmlformats.org/officeDocument/2006/relationships" r:id="rId3"/>
          <a:extLst>
            <a:ext uri="{FF2B5EF4-FFF2-40B4-BE49-F238E27FC236}">
              <a16:creationId xmlns:a16="http://schemas.microsoft.com/office/drawing/2014/main" id="{DB34860D-383B-4B5D-AC7F-A96ABCCB73C2}"/>
            </a:ext>
          </a:extLst>
        </xdr:cNvPr>
        <xdr:cNvSpPr/>
      </xdr:nvSpPr>
      <xdr:spPr>
        <a:xfrm flipH="1">
          <a:off x="10372725" y="285751"/>
          <a:ext cx="1371600" cy="383596"/>
        </a:xfrm>
        <a:prstGeom prst="left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applications</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0</xdr:col>
      <xdr:colOff>733425</xdr:colOff>
      <xdr:row>2</xdr:row>
      <xdr:rowOff>38100</xdr:rowOff>
    </xdr:to>
    <xdr:sp macro="" textlink="">
      <xdr:nvSpPr>
        <xdr:cNvPr id="8" name="Pfeil nach links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133350" y="133350"/>
          <a:ext cx="600075" cy="295275"/>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back</a:t>
          </a:r>
        </a:p>
      </xdr:txBody>
    </xdr:sp>
    <xdr:clientData/>
  </xdr:twoCellAnchor>
  <xdr:twoCellAnchor>
    <xdr:from>
      <xdr:col>9</xdr:col>
      <xdr:colOff>1248918</xdr:colOff>
      <xdr:row>29</xdr:row>
      <xdr:rowOff>212912</xdr:rowOff>
    </xdr:from>
    <xdr:to>
      <xdr:col>10</xdr:col>
      <xdr:colOff>752110</xdr:colOff>
      <xdr:row>29</xdr:row>
      <xdr:rowOff>721536</xdr:rowOff>
    </xdr:to>
    <xdr:sp macro="" textlink="">
      <xdr:nvSpPr>
        <xdr:cNvPr id="5" name="Pfeil nach links 4">
          <a:hlinkClick xmlns:r="http://schemas.openxmlformats.org/officeDocument/2006/relationships" r:id="rId2"/>
          <a:extLst>
            <a:ext uri="{FF2B5EF4-FFF2-40B4-BE49-F238E27FC236}">
              <a16:creationId xmlns:a16="http://schemas.microsoft.com/office/drawing/2014/main" id="{00000000-0008-0000-0300-000005000000}"/>
            </a:ext>
          </a:extLst>
        </xdr:cNvPr>
        <xdr:cNvSpPr/>
      </xdr:nvSpPr>
      <xdr:spPr>
        <a:xfrm flipH="1">
          <a:off x="9888653" y="8819030"/>
          <a:ext cx="1946075" cy="508624"/>
        </a:xfrm>
        <a:prstGeom prst="left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contact persons VW Group</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803413</xdr:colOff>
      <xdr:row>5</xdr:row>
      <xdr:rowOff>43961</xdr:rowOff>
    </xdr:from>
    <xdr:to>
      <xdr:col>2</xdr:col>
      <xdr:colOff>69768</xdr:colOff>
      <xdr:row>5</xdr:row>
      <xdr:rowOff>263095</xdr:rowOff>
    </xdr:to>
    <xdr:sp macro="" textlink="">
      <xdr:nvSpPr>
        <xdr:cNvPr id="7" name="Pfeil nach rechts 6">
          <a:extLst>
            <a:ext uri="{FF2B5EF4-FFF2-40B4-BE49-F238E27FC236}">
              <a16:creationId xmlns:a16="http://schemas.microsoft.com/office/drawing/2014/main" id="{00000000-0008-0000-0300-000007000000}"/>
            </a:ext>
          </a:extLst>
        </xdr:cNvPr>
        <xdr:cNvSpPr/>
      </xdr:nvSpPr>
      <xdr:spPr>
        <a:xfrm>
          <a:off x="3611217" y="1700483"/>
          <a:ext cx="409355" cy="219134"/>
        </a:xfrm>
        <a:prstGeom prst="right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1618708</xdr:colOff>
      <xdr:row>0</xdr:row>
      <xdr:rowOff>56028</xdr:rowOff>
    </xdr:from>
    <xdr:to>
      <xdr:col>12</xdr:col>
      <xdr:colOff>549087</xdr:colOff>
      <xdr:row>2</xdr:row>
      <xdr:rowOff>112059</xdr:rowOff>
    </xdr:to>
    <xdr:sp macro="" textlink="">
      <xdr:nvSpPr>
        <xdr:cNvPr id="10" name="Pfeil nach links 9">
          <a:hlinkClick xmlns:r="http://schemas.openxmlformats.org/officeDocument/2006/relationships" r:id="rId2"/>
          <a:extLst>
            <a:ext uri="{FF2B5EF4-FFF2-40B4-BE49-F238E27FC236}">
              <a16:creationId xmlns:a16="http://schemas.microsoft.com/office/drawing/2014/main" id="{00000000-0008-0000-0300-00000A000000}"/>
            </a:ext>
          </a:extLst>
        </xdr:cNvPr>
        <xdr:cNvSpPr/>
      </xdr:nvSpPr>
      <xdr:spPr>
        <a:xfrm flipH="1">
          <a:off x="12701326" y="56028"/>
          <a:ext cx="2191290" cy="437031"/>
        </a:xfrm>
        <a:prstGeom prst="leftArrow">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contact persons VW Group</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9</xdr:col>
      <xdr:colOff>2128147</xdr:colOff>
      <xdr:row>5</xdr:row>
      <xdr:rowOff>37284</xdr:rowOff>
    </xdr:from>
    <xdr:to>
      <xdr:col>9</xdr:col>
      <xdr:colOff>2368827</xdr:colOff>
      <xdr:row>5</xdr:row>
      <xdr:rowOff>285808</xdr:rowOff>
    </xdr:to>
    <xdr:pic>
      <xdr:nvPicPr>
        <xdr:cNvPr id="9" name="Grafik 8">
          <a:hlinkClick xmlns:r="http://schemas.openxmlformats.org/officeDocument/2006/relationships" r:id="rId3" tooltip="Follow the link for further application information"/>
          <a:extLst>
            <a:ext uri="{FF2B5EF4-FFF2-40B4-BE49-F238E27FC236}">
              <a16:creationId xmlns:a16="http://schemas.microsoft.com/office/drawing/2014/main" id="{E2AF2355-1B90-4BCC-8046-9321C0B15FF7}"/>
            </a:ext>
          </a:extLst>
        </xdr:cNvPr>
        <xdr:cNvPicPr>
          <a:picLocks noChangeAspect="1"/>
        </xdr:cNvPicPr>
      </xdr:nvPicPr>
      <xdr:blipFill>
        <a:blip xmlns:r="http://schemas.openxmlformats.org/officeDocument/2006/relationships" r:embed="rId4"/>
        <a:stretch>
          <a:fillRect/>
        </a:stretch>
      </xdr:blipFill>
      <xdr:spPr>
        <a:xfrm>
          <a:off x="10742060" y="1768349"/>
          <a:ext cx="240680" cy="248524"/>
        </a:xfrm>
        <a:prstGeom prst="rect">
          <a:avLst/>
        </a:prstGeom>
      </xdr:spPr>
    </xdr:pic>
    <xdr:clientData/>
  </xdr:twoCellAnchor>
  <xdr:twoCellAnchor editAs="oneCell">
    <xdr:from>
      <xdr:col>0</xdr:col>
      <xdr:colOff>857250</xdr:colOff>
      <xdr:row>1</xdr:row>
      <xdr:rowOff>19051</xdr:rowOff>
    </xdr:from>
    <xdr:to>
      <xdr:col>1</xdr:col>
      <xdr:colOff>533400</xdr:colOff>
      <xdr:row>2</xdr:row>
      <xdr:rowOff>31387</xdr:rowOff>
    </xdr:to>
    <xdr:pic>
      <xdr:nvPicPr>
        <xdr:cNvPr id="2" name="Grafik 1">
          <a:extLst>
            <a:ext uri="{FF2B5EF4-FFF2-40B4-BE49-F238E27FC236}">
              <a16:creationId xmlns:a16="http://schemas.microsoft.com/office/drawing/2014/main" id="{42D49275-8E95-44FE-B765-FA05DFDAC51A}"/>
            </a:ext>
          </a:extLst>
        </xdr:cNvPr>
        <xdr:cNvPicPr>
          <a:picLocks noChangeAspect="1"/>
        </xdr:cNvPicPr>
      </xdr:nvPicPr>
      <xdr:blipFill>
        <a:blip xmlns:r="http://schemas.openxmlformats.org/officeDocument/2006/relationships" r:embed="rId5"/>
        <a:stretch>
          <a:fillRect/>
        </a:stretch>
      </xdr:blipFill>
      <xdr:spPr>
        <a:xfrm>
          <a:off x="857250" y="180976"/>
          <a:ext cx="2486025" cy="2409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0</xdr:row>
      <xdr:rowOff>144556</xdr:rowOff>
    </xdr:from>
    <xdr:to>
      <xdr:col>1</xdr:col>
      <xdr:colOff>666749</xdr:colOff>
      <xdr:row>2</xdr:row>
      <xdr:rowOff>30255</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52400" y="144556"/>
          <a:ext cx="609599" cy="247649"/>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back</a:t>
          </a:r>
        </a:p>
      </xdr:txBody>
    </xdr:sp>
    <xdr:clientData/>
  </xdr:twoCellAnchor>
  <xdr:twoCellAnchor editAs="oneCell">
    <xdr:from>
      <xdr:col>1</xdr:col>
      <xdr:colOff>771525</xdr:colOff>
      <xdr:row>1</xdr:row>
      <xdr:rowOff>0</xdr:rowOff>
    </xdr:from>
    <xdr:to>
      <xdr:col>3</xdr:col>
      <xdr:colOff>349395</xdr:colOff>
      <xdr:row>2</xdr:row>
      <xdr:rowOff>0</xdr:rowOff>
    </xdr:to>
    <xdr:pic>
      <xdr:nvPicPr>
        <xdr:cNvPr id="4" name="Grafik 3">
          <a:extLst>
            <a:ext uri="{FF2B5EF4-FFF2-40B4-BE49-F238E27FC236}">
              <a16:creationId xmlns:a16="http://schemas.microsoft.com/office/drawing/2014/main" id="{DCE0C59D-9834-46D2-9D13-2215F9C7466D}"/>
            </a:ext>
          </a:extLst>
        </xdr:cNvPr>
        <xdr:cNvPicPr>
          <a:picLocks noChangeAspect="1"/>
        </xdr:cNvPicPr>
      </xdr:nvPicPr>
      <xdr:blipFill>
        <a:blip xmlns:r="http://schemas.openxmlformats.org/officeDocument/2006/relationships" r:embed="rId2"/>
        <a:stretch>
          <a:fillRect/>
        </a:stretch>
      </xdr:blipFill>
      <xdr:spPr>
        <a:xfrm>
          <a:off x="866775" y="161925"/>
          <a:ext cx="2063895" cy="200025"/>
        </a:xfrm>
        <a:prstGeom prst="rect">
          <a:avLst/>
        </a:prstGeom>
      </xdr:spPr>
    </xdr:pic>
    <xdr:clientData/>
  </xdr:twoCellAnchor>
  <xdr:twoCellAnchor>
    <xdr:from>
      <xdr:col>8</xdr:col>
      <xdr:colOff>828672</xdr:colOff>
      <xdr:row>0</xdr:row>
      <xdr:rowOff>57150</xdr:rowOff>
    </xdr:from>
    <xdr:to>
      <xdr:col>8</xdr:col>
      <xdr:colOff>2152647</xdr:colOff>
      <xdr:row>3</xdr:row>
      <xdr:rowOff>0</xdr:rowOff>
    </xdr:to>
    <xdr:sp macro="" textlink="">
      <xdr:nvSpPr>
        <xdr:cNvPr id="5" name="Pfeil nach links 14">
          <a:hlinkClick xmlns:r="http://schemas.openxmlformats.org/officeDocument/2006/relationships" r:id="rId3"/>
          <a:extLst>
            <a:ext uri="{FF2B5EF4-FFF2-40B4-BE49-F238E27FC236}">
              <a16:creationId xmlns:a16="http://schemas.microsoft.com/office/drawing/2014/main" id="{398FC6A4-6341-4A88-9EA5-69D175EE7C0D}"/>
            </a:ext>
          </a:extLst>
        </xdr:cNvPr>
        <xdr:cNvSpPr/>
      </xdr:nvSpPr>
      <xdr:spPr>
        <a:xfrm flipH="1">
          <a:off x="12773022" y="57150"/>
          <a:ext cx="1323975" cy="419100"/>
        </a:xfrm>
        <a:prstGeom prst="leftArrow">
          <a:avLst>
            <a:gd name="adj1" fmla="val 50000"/>
            <a:gd name="adj2" fmla="val 64455"/>
          </a:avLst>
        </a:prstGeom>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baseline="0">
              <a:latin typeface="Tahoma" panose="020B0604030504040204" pitchFamily="34" charset="0"/>
              <a:ea typeface="Tahoma" panose="020B0604030504040204" pitchFamily="34" charset="0"/>
              <a:cs typeface="Tahoma" panose="020B0604030504040204" pitchFamily="34" charset="0"/>
            </a:rPr>
            <a:t>TISAX status </a:t>
          </a:r>
          <a:endParaRPr lang="de-DE"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83820</xdr:colOff>
      <xdr:row>0</xdr:row>
      <xdr:rowOff>83820</xdr:rowOff>
    </xdr:from>
    <xdr:to>
      <xdr:col>1</xdr:col>
      <xdr:colOff>2065019</xdr:colOff>
      <xdr:row>0</xdr:row>
      <xdr:rowOff>381000</xdr:rowOff>
    </xdr:to>
    <xdr:sp macro="" textlink="">
      <xdr:nvSpPr>
        <xdr:cNvPr id="3" name="Pfeil nach links 1">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342900" y="83820"/>
          <a:ext cx="1981199" cy="297180"/>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100">
              <a:solidFill>
                <a:schemeClr val="lt1"/>
              </a:solidFill>
              <a:effectLst/>
              <a:latin typeface="+mn-lt"/>
              <a:ea typeface="+mn-ea"/>
              <a:cs typeface="+mn-cs"/>
            </a:rPr>
            <a:t>back to company</a:t>
          </a:r>
          <a:r>
            <a:rPr lang="de-DE" sz="1100" baseline="0">
              <a:solidFill>
                <a:schemeClr val="lt1"/>
              </a:solidFill>
              <a:effectLst/>
              <a:latin typeface="+mn-lt"/>
              <a:ea typeface="+mn-ea"/>
              <a:cs typeface="+mn-cs"/>
            </a:rPr>
            <a:t> data</a:t>
          </a:r>
          <a:endParaRPr lang="de-DE" sz="1100">
            <a:solidFill>
              <a:schemeClr val="lt1"/>
            </a:solidFill>
            <a:effectLst/>
            <a:latin typeface="+mn-lt"/>
            <a:ea typeface="+mn-ea"/>
            <a:cs typeface="+mn-cs"/>
          </a:endParaRPr>
        </a:p>
      </xdr:txBody>
    </xdr:sp>
    <xdr:clientData/>
  </xdr:twoCellAnchor>
  <xdr:twoCellAnchor editAs="oneCell">
    <xdr:from>
      <xdr:col>1</xdr:col>
      <xdr:colOff>2295525</xdr:colOff>
      <xdr:row>0</xdr:row>
      <xdr:rowOff>104775</xdr:rowOff>
    </xdr:from>
    <xdr:to>
      <xdr:col>3</xdr:col>
      <xdr:colOff>53199</xdr:colOff>
      <xdr:row>0</xdr:row>
      <xdr:rowOff>379119</xdr:rowOff>
    </xdr:to>
    <xdr:pic>
      <xdr:nvPicPr>
        <xdr:cNvPr id="2" name="Grafik 1">
          <a:extLst>
            <a:ext uri="{FF2B5EF4-FFF2-40B4-BE49-F238E27FC236}">
              <a16:creationId xmlns:a16="http://schemas.microsoft.com/office/drawing/2014/main" id="{6C77755A-A095-4BFA-A8AB-DB13C076B398}"/>
            </a:ext>
          </a:extLst>
        </xdr:cNvPr>
        <xdr:cNvPicPr>
          <a:picLocks noChangeAspect="1"/>
        </xdr:cNvPicPr>
      </xdr:nvPicPr>
      <xdr:blipFill>
        <a:blip xmlns:r="http://schemas.openxmlformats.org/officeDocument/2006/relationships" r:embed="rId2"/>
        <a:stretch>
          <a:fillRect/>
        </a:stretch>
      </xdr:blipFill>
      <xdr:spPr>
        <a:xfrm>
          <a:off x="2543175" y="104775"/>
          <a:ext cx="2767824" cy="2743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87923</xdr:colOff>
      <xdr:row>0</xdr:row>
      <xdr:rowOff>505557</xdr:rowOff>
    </xdr:from>
    <xdr:to>
      <xdr:col>8</xdr:col>
      <xdr:colOff>2022231</xdr:colOff>
      <xdr:row>0</xdr:row>
      <xdr:rowOff>1314450</xdr:rowOff>
    </xdr:to>
    <xdr:sp macro="" textlink="">
      <xdr:nvSpPr>
        <xdr:cNvPr id="2" name="Textfeld 1">
          <a:extLst>
            <a:ext uri="{FF2B5EF4-FFF2-40B4-BE49-F238E27FC236}">
              <a16:creationId xmlns:a16="http://schemas.microsoft.com/office/drawing/2014/main" id="{7EED1DAC-0F9B-468E-B455-C06BAAAC17F5}"/>
            </a:ext>
          </a:extLst>
        </xdr:cNvPr>
        <xdr:cNvSpPr txBox="1"/>
      </xdr:nvSpPr>
      <xdr:spPr>
        <a:xfrm>
          <a:off x="87923" y="505557"/>
          <a:ext cx="12564208" cy="808893"/>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Do you need information about TISAX certification?</a:t>
          </a:r>
          <a:endParaRPr lang="de-DE" sz="400" b="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endParaRPr>
        </a:p>
        <a:p>
          <a:br>
            <a:rPr lang="de-DE" sz="1000" b="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br>
          <a:r>
            <a:rPr lang="de-DE" sz="1000" b="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Follow the buttons</a:t>
          </a:r>
          <a:endParaRPr lang="de-DE" sz="1000" b="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101556</xdr:colOff>
      <xdr:row>0</xdr:row>
      <xdr:rowOff>118241</xdr:rowOff>
    </xdr:from>
    <xdr:to>
      <xdr:col>1</xdr:col>
      <xdr:colOff>1598886</xdr:colOff>
      <xdr:row>0</xdr:row>
      <xdr:rowOff>399393</xdr:rowOff>
    </xdr:to>
    <xdr:sp macro="" textlink="">
      <xdr:nvSpPr>
        <xdr:cNvPr id="3" name="Pfeil nach links 1">
          <a:hlinkClick xmlns:r="http://schemas.openxmlformats.org/officeDocument/2006/relationships" r:id="rId1"/>
          <a:extLst>
            <a:ext uri="{FF2B5EF4-FFF2-40B4-BE49-F238E27FC236}">
              <a16:creationId xmlns:a16="http://schemas.microsoft.com/office/drawing/2014/main" id="{CA29419F-A9DE-4F0B-B5A4-523EA8FDD6A2}"/>
            </a:ext>
          </a:extLst>
        </xdr:cNvPr>
        <xdr:cNvSpPr/>
      </xdr:nvSpPr>
      <xdr:spPr>
        <a:xfrm>
          <a:off x="101556" y="118241"/>
          <a:ext cx="1648416" cy="281152"/>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100">
              <a:solidFill>
                <a:schemeClr val="lt1"/>
              </a:solidFill>
              <a:effectLst/>
              <a:latin typeface="+mn-lt"/>
              <a:ea typeface="+mn-ea"/>
              <a:cs typeface="+mn-cs"/>
            </a:rPr>
            <a:t>back to company data</a:t>
          </a:r>
        </a:p>
      </xdr:txBody>
    </xdr:sp>
    <xdr:clientData/>
  </xdr:twoCellAnchor>
  <xdr:twoCellAnchor editAs="oneCell">
    <xdr:from>
      <xdr:col>3</xdr:col>
      <xdr:colOff>2087217</xdr:colOff>
      <xdr:row>0</xdr:row>
      <xdr:rowOff>1354619</xdr:rowOff>
    </xdr:from>
    <xdr:to>
      <xdr:col>4</xdr:col>
      <xdr:colOff>560318</xdr:colOff>
      <xdr:row>2</xdr:row>
      <xdr:rowOff>7611</xdr:rowOff>
    </xdr:to>
    <xdr:pic>
      <xdr:nvPicPr>
        <xdr:cNvPr id="4" name="Grafik 3" descr="Puzzleteile">
          <a:extLst>
            <a:ext uri="{FF2B5EF4-FFF2-40B4-BE49-F238E27FC236}">
              <a16:creationId xmlns:a16="http://schemas.microsoft.com/office/drawing/2014/main" id="{AD53471D-C03F-4942-BDF1-C9ECF10F53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544917" y="1354619"/>
          <a:ext cx="844826" cy="853267"/>
        </a:xfrm>
        <a:prstGeom prst="rect">
          <a:avLst/>
        </a:prstGeom>
      </xdr:spPr>
    </xdr:pic>
    <xdr:clientData/>
  </xdr:twoCellAnchor>
  <xdr:twoCellAnchor editAs="oneCell">
    <xdr:from>
      <xdr:col>10</xdr:col>
      <xdr:colOff>47065</xdr:colOff>
      <xdr:row>0</xdr:row>
      <xdr:rowOff>378808</xdr:rowOff>
    </xdr:from>
    <xdr:to>
      <xdr:col>11</xdr:col>
      <xdr:colOff>713255</xdr:colOff>
      <xdr:row>0</xdr:row>
      <xdr:rowOff>972422</xdr:rowOff>
    </xdr:to>
    <xdr:pic>
      <xdr:nvPicPr>
        <xdr:cNvPr id="5" name="Grafik 4">
          <a:extLst>
            <a:ext uri="{FF2B5EF4-FFF2-40B4-BE49-F238E27FC236}">
              <a16:creationId xmlns:a16="http://schemas.microsoft.com/office/drawing/2014/main" id="{E2B0B462-7651-43D7-B74C-ACEA717807A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505890" y="378808"/>
          <a:ext cx="1637741" cy="593614"/>
        </a:xfrm>
        <a:prstGeom prst="rect">
          <a:avLst/>
        </a:prstGeom>
      </xdr:spPr>
    </xdr:pic>
    <xdr:clientData/>
  </xdr:twoCellAnchor>
  <xdr:twoCellAnchor>
    <xdr:from>
      <xdr:col>1</xdr:col>
      <xdr:colOff>1647874</xdr:colOff>
      <xdr:row>0</xdr:row>
      <xdr:rowOff>804279</xdr:rowOff>
    </xdr:from>
    <xdr:to>
      <xdr:col>6</xdr:col>
      <xdr:colOff>906517</xdr:colOff>
      <xdr:row>0</xdr:row>
      <xdr:rowOff>1188984</xdr:rowOff>
    </xdr:to>
    <xdr:grpSp>
      <xdr:nvGrpSpPr>
        <xdr:cNvPr id="8" name="Gruppieren 7">
          <a:extLst>
            <a:ext uri="{FF2B5EF4-FFF2-40B4-BE49-F238E27FC236}">
              <a16:creationId xmlns:a16="http://schemas.microsoft.com/office/drawing/2014/main" id="{3B68A3F8-8EAD-495B-83E9-6D2940B5E9D7}"/>
            </a:ext>
          </a:extLst>
        </xdr:cNvPr>
        <xdr:cNvGrpSpPr/>
      </xdr:nvGrpSpPr>
      <xdr:grpSpPr>
        <a:xfrm>
          <a:off x="1838374" y="804279"/>
          <a:ext cx="7907343" cy="384705"/>
          <a:chOff x="169428" y="725364"/>
          <a:chExt cx="7795853" cy="384705"/>
        </a:xfrm>
      </xdr:grpSpPr>
      <xdr:grpSp>
        <xdr:nvGrpSpPr>
          <xdr:cNvPr id="9" name="Gruppieren 8">
            <a:extLst>
              <a:ext uri="{FF2B5EF4-FFF2-40B4-BE49-F238E27FC236}">
                <a16:creationId xmlns:a16="http://schemas.microsoft.com/office/drawing/2014/main" id="{D3CDA91A-E798-4F58-B3DD-48C6FEEBC499}"/>
              </a:ext>
            </a:extLst>
          </xdr:cNvPr>
          <xdr:cNvGrpSpPr/>
        </xdr:nvGrpSpPr>
        <xdr:grpSpPr>
          <a:xfrm>
            <a:off x="169428" y="725364"/>
            <a:ext cx="7795853" cy="384705"/>
            <a:chOff x="687246" y="681403"/>
            <a:chExt cx="7780564" cy="384705"/>
          </a:xfrm>
        </xdr:grpSpPr>
        <xdr:sp macro="" textlink="">
          <xdr:nvSpPr>
            <xdr:cNvPr id="12" name="Textfeld 11">
              <a:hlinkClick xmlns:r="http://schemas.openxmlformats.org/officeDocument/2006/relationships" r:id="rId5"/>
              <a:extLst>
                <a:ext uri="{FF2B5EF4-FFF2-40B4-BE49-F238E27FC236}">
                  <a16:creationId xmlns:a16="http://schemas.microsoft.com/office/drawing/2014/main" id="{056C1EBA-1C43-4424-939A-FAC49492D874}"/>
                </a:ext>
              </a:extLst>
            </xdr:cNvPr>
            <xdr:cNvSpPr txBox="1"/>
          </xdr:nvSpPr>
          <xdr:spPr>
            <a:xfrm>
              <a:off x="687246" y="681403"/>
              <a:ext cx="2282771" cy="376991"/>
            </a:xfrm>
            <a:prstGeom prst="rect">
              <a:avLst/>
            </a:prstGeom>
            <a:solidFill>
              <a:schemeClr val="bg1">
                <a:lumMod val="75000"/>
              </a:schemeClr>
            </a:solidFill>
            <a:ln/>
          </xdr:spPr>
          <xdr:style>
            <a:lnRef idx="0">
              <a:schemeClr val="accent1"/>
            </a:lnRef>
            <a:fillRef idx="3">
              <a:schemeClr val="accent1"/>
            </a:fillRef>
            <a:effectRef idx="3">
              <a:schemeClr val="accent1"/>
            </a:effectRef>
            <a:fontRef idx="minor">
              <a:schemeClr val="lt1"/>
            </a:fontRef>
          </xdr:style>
          <xdr:txBody>
            <a:bodyPr vertOverflow="clip" horzOverflow="clip" wrap="square" lIns="0" tIns="0" rIns="0" bIns="0" rtlCol="0" anchor="ctr"/>
            <a:lstStyle/>
            <a:p>
              <a:pPr marL="457200" lvl="1" indent="0" algn="l"/>
              <a:r>
                <a:rPr lang="de-DE" sz="80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The </a:t>
              </a:r>
              <a:r>
                <a:rPr lang="de-DE" sz="800" baseline="0">
                  <a:solidFill>
                    <a:schemeClr val="tx2">
                      <a:lumMod val="75000"/>
                    </a:schemeClr>
                  </a:solidFill>
                  <a:effectLst/>
                  <a:latin typeface="Tahoma" panose="020B0604030504040204" pitchFamily="34" charset="0"/>
                  <a:ea typeface="Tahoma" panose="020B0604030504040204" pitchFamily="34" charset="0"/>
                  <a:cs typeface="Tahoma" panose="020B0604030504040204" pitchFamily="34" charset="0"/>
                </a:rPr>
                <a:t>TISAX®</a:t>
              </a:r>
              <a:r>
                <a:rPr lang="de-DE" sz="80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 assessment in the cooperation with the Volkswagen Group</a:t>
              </a:r>
            </a:p>
          </xdr:txBody>
        </xdr:sp>
        <xdr:sp macro="" textlink="">
          <xdr:nvSpPr>
            <xdr:cNvPr id="13" name="Textfeld 12">
              <a:hlinkClick xmlns:r="http://schemas.openxmlformats.org/officeDocument/2006/relationships" r:id="rId6"/>
              <a:extLst>
                <a:ext uri="{FF2B5EF4-FFF2-40B4-BE49-F238E27FC236}">
                  <a16:creationId xmlns:a16="http://schemas.microsoft.com/office/drawing/2014/main" id="{B25BF792-EB68-4D1D-9398-3239E657F94F}"/>
                </a:ext>
              </a:extLst>
            </xdr:cNvPr>
            <xdr:cNvSpPr txBox="1"/>
          </xdr:nvSpPr>
          <xdr:spPr>
            <a:xfrm>
              <a:off x="3202275" y="681404"/>
              <a:ext cx="2272322" cy="376991"/>
            </a:xfrm>
            <a:prstGeom prst="rect">
              <a:avLst/>
            </a:prstGeom>
            <a:solidFill>
              <a:schemeClr val="bg1">
                <a:lumMod val="75000"/>
              </a:schemeClr>
            </a:solidFill>
            <a:ln/>
          </xdr:spPr>
          <xdr:style>
            <a:lnRef idx="0">
              <a:schemeClr val="accent6"/>
            </a:lnRef>
            <a:fillRef idx="3">
              <a:schemeClr val="accent6"/>
            </a:fillRef>
            <a:effectRef idx="3">
              <a:schemeClr val="accent6"/>
            </a:effectRef>
            <a:fontRef idx="minor">
              <a:schemeClr val="lt1"/>
            </a:fontRef>
          </xdr:style>
          <xdr:txBody>
            <a:bodyPr vertOverflow="clip" horzOverflow="clip" wrap="square" lIns="0" tIns="0" rIns="0" bIns="0" rtlCol="0" anchor="ctr"/>
            <a:lstStyle/>
            <a:p>
              <a:pPr lvl="1" algn="l"/>
              <a:r>
                <a:rPr lang="de-DE" sz="80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Steps to reach the TISAX</a:t>
              </a:r>
              <a:r>
                <a:rPr lang="de-DE" sz="800" baseline="3000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a:t>
              </a:r>
              <a:r>
                <a:rPr lang="de-DE" sz="80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rPr>
                <a:t> label</a:t>
              </a:r>
            </a:p>
          </xdr:txBody>
        </xdr:sp>
        <xdr:sp macro="" textlink="">
          <xdr:nvSpPr>
            <xdr:cNvPr id="14" name="Textfeld 13">
              <a:hlinkClick xmlns:r="http://schemas.openxmlformats.org/officeDocument/2006/relationships" r:id="rId7"/>
              <a:extLst>
                <a:ext uri="{FF2B5EF4-FFF2-40B4-BE49-F238E27FC236}">
                  <a16:creationId xmlns:a16="http://schemas.microsoft.com/office/drawing/2014/main" id="{1BE8FC9B-D5CA-499B-B7D8-0FF3DEC01E04}"/>
                </a:ext>
              </a:extLst>
            </xdr:cNvPr>
            <xdr:cNvSpPr txBox="1"/>
          </xdr:nvSpPr>
          <xdr:spPr>
            <a:xfrm>
              <a:off x="5647877" y="688732"/>
              <a:ext cx="2819933" cy="377376"/>
            </a:xfrm>
            <a:prstGeom prst="rect">
              <a:avLst/>
            </a:prstGeom>
            <a:solidFill>
              <a:schemeClr val="bg1">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lIns="0" tIns="0" rIns="0" bIns="0" rtlCol="0" anchor="ctr"/>
            <a:lstStyle/>
            <a:p>
              <a:pPr lvl="1" algn="l"/>
              <a:r>
                <a:rPr lang="de-DE" sz="800" baseline="0">
                  <a:solidFill>
                    <a:schemeClr val="tx2">
                      <a:lumMod val="75000"/>
                    </a:schemeClr>
                  </a:solidFill>
                  <a:effectLst/>
                  <a:latin typeface="Tahoma" panose="020B0604030504040204" pitchFamily="34" charset="0"/>
                  <a:ea typeface="Tahoma" panose="020B0604030504040204" pitchFamily="34" charset="0"/>
                  <a:cs typeface="Tahoma" panose="020B0604030504040204" pitchFamily="34" charset="0"/>
                </a:rPr>
                <a:t>No TISAX® certification can be proven, but the CSN service has to be available as soon as possible</a:t>
              </a:r>
              <a:endParaRPr lang="de-DE" sz="800" baseline="0">
                <a:solidFill>
                  <a:schemeClr val="tx2">
                    <a:lumMod val="75000"/>
                  </a:schemeClr>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5" name="Grafik 14">
              <a:extLst>
                <a:ext uri="{FF2B5EF4-FFF2-40B4-BE49-F238E27FC236}">
                  <a16:creationId xmlns:a16="http://schemas.microsoft.com/office/drawing/2014/main" id="{2FCC616C-7D63-4982-AC0A-4F80FB360F17}"/>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88062" y="749468"/>
              <a:ext cx="263156" cy="261608"/>
            </a:xfrm>
            <a:prstGeom prst="rect">
              <a:avLst/>
            </a:prstGeom>
          </xdr:spPr>
        </xdr:pic>
      </xdr:grpSp>
      <xdr:pic>
        <xdr:nvPicPr>
          <xdr:cNvPr id="10" name="Grafik 9">
            <a:extLst>
              <a:ext uri="{FF2B5EF4-FFF2-40B4-BE49-F238E27FC236}">
                <a16:creationId xmlns:a16="http://schemas.microsoft.com/office/drawing/2014/main" id="{63DEDE99-6978-4E08-9DFA-6106E1BA41B5}"/>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77813" y="787072"/>
            <a:ext cx="263673" cy="261608"/>
          </a:xfrm>
          <a:prstGeom prst="rect">
            <a:avLst/>
          </a:prstGeom>
        </xdr:spPr>
      </xdr:pic>
      <xdr:pic>
        <xdr:nvPicPr>
          <xdr:cNvPr id="11" name="Grafik 10">
            <a:extLst>
              <a:ext uri="{FF2B5EF4-FFF2-40B4-BE49-F238E27FC236}">
                <a16:creationId xmlns:a16="http://schemas.microsoft.com/office/drawing/2014/main" id="{C5B5804A-D649-4430-9888-3309176DDD6A}"/>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2802" y="803030"/>
            <a:ext cx="263673" cy="261608"/>
          </a:xfrm>
          <a:prstGeom prst="rect">
            <a:avLst/>
          </a:prstGeom>
        </xdr:spPr>
      </xdr:pic>
    </xdr:grpSp>
    <xdr:clientData/>
  </xdr:twoCellAnchor>
  <xdr:twoCellAnchor>
    <xdr:from>
      <xdr:col>12</xdr:col>
      <xdr:colOff>19049</xdr:colOff>
      <xdr:row>0</xdr:row>
      <xdr:rowOff>885825</xdr:rowOff>
    </xdr:from>
    <xdr:to>
      <xdr:col>12</xdr:col>
      <xdr:colOff>1447798</xdr:colOff>
      <xdr:row>0</xdr:row>
      <xdr:rowOff>1154209</xdr:rowOff>
    </xdr:to>
    <xdr:sp macro="" textlink="">
      <xdr:nvSpPr>
        <xdr:cNvPr id="16" name="Pfeil nach links 10">
          <a:hlinkClick xmlns:r="http://schemas.openxmlformats.org/officeDocument/2006/relationships" r:id="rId9"/>
          <a:extLst>
            <a:ext uri="{FF2B5EF4-FFF2-40B4-BE49-F238E27FC236}">
              <a16:creationId xmlns:a16="http://schemas.microsoft.com/office/drawing/2014/main" id="{6AB91571-6009-46A2-A479-0B3E5C330D2C}"/>
            </a:ext>
          </a:extLst>
        </xdr:cNvPr>
        <xdr:cNvSpPr/>
      </xdr:nvSpPr>
      <xdr:spPr>
        <a:xfrm flipH="1">
          <a:off x="15620999" y="885825"/>
          <a:ext cx="1428749" cy="268384"/>
        </a:xfrm>
        <a:prstGeom prst="leftArrow">
          <a:avLst>
            <a:gd name="adj1" fmla="val 65613"/>
            <a:gd name="adj2" fmla="val 48700"/>
          </a:avLst>
        </a:prstGeom>
        <a:solidFill>
          <a:schemeClr val="accent1"/>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900">
              <a:latin typeface="Tahoma" panose="020B0604030504040204" pitchFamily="34" charset="0"/>
              <a:ea typeface="Tahoma" panose="020B0604030504040204" pitchFamily="34" charset="0"/>
              <a:cs typeface="Tahoma" panose="020B0604030504040204" pitchFamily="34" charset="0"/>
            </a:rPr>
            <a:t>TISAX information</a:t>
          </a:r>
        </a:p>
      </xdr:txBody>
    </xdr:sp>
    <xdr:clientData/>
  </xdr:twoCellAnchor>
  <xdr:twoCellAnchor editAs="oneCell">
    <xdr:from>
      <xdr:col>1</xdr:col>
      <xdr:colOff>1790700</xdr:colOff>
      <xdr:row>0</xdr:row>
      <xdr:rowOff>133350</xdr:rowOff>
    </xdr:from>
    <xdr:to>
      <xdr:col>3</xdr:col>
      <xdr:colOff>253224</xdr:colOff>
      <xdr:row>0</xdr:row>
      <xdr:rowOff>401597</xdr:rowOff>
    </xdr:to>
    <xdr:pic>
      <xdr:nvPicPr>
        <xdr:cNvPr id="7" name="Grafik 6">
          <a:extLst>
            <a:ext uri="{FF2B5EF4-FFF2-40B4-BE49-F238E27FC236}">
              <a16:creationId xmlns:a16="http://schemas.microsoft.com/office/drawing/2014/main" id="{8B51011E-9938-44ED-B734-14E975A19309}"/>
            </a:ext>
          </a:extLst>
        </xdr:cNvPr>
        <xdr:cNvPicPr>
          <a:picLocks noChangeAspect="1"/>
        </xdr:cNvPicPr>
      </xdr:nvPicPr>
      <xdr:blipFill>
        <a:blip xmlns:r="http://schemas.openxmlformats.org/officeDocument/2006/relationships" r:embed="rId10"/>
        <a:stretch>
          <a:fillRect/>
        </a:stretch>
      </xdr:blipFill>
      <xdr:spPr>
        <a:xfrm>
          <a:off x="1981200" y="133350"/>
          <a:ext cx="2767824" cy="268247"/>
        </a:xfrm>
        <a:prstGeom prst="rect">
          <a:avLst/>
        </a:prstGeom>
      </xdr:spPr>
    </xdr:pic>
    <xdr:clientData/>
  </xdr:twoCellAnchor>
  <xdr:twoCellAnchor>
    <xdr:from>
      <xdr:col>12</xdr:col>
      <xdr:colOff>19048</xdr:colOff>
      <xdr:row>0</xdr:row>
      <xdr:rowOff>228600</xdr:rowOff>
    </xdr:from>
    <xdr:to>
      <xdr:col>13</xdr:col>
      <xdr:colOff>38099</xdr:colOff>
      <xdr:row>0</xdr:row>
      <xdr:rowOff>682997</xdr:rowOff>
    </xdr:to>
    <xdr:sp macro="" textlink="">
      <xdr:nvSpPr>
        <xdr:cNvPr id="19" name="Pfeil nach links 10">
          <a:hlinkClick xmlns:r="http://schemas.openxmlformats.org/officeDocument/2006/relationships" r:id="rId11"/>
          <a:extLst>
            <a:ext uri="{FF2B5EF4-FFF2-40B4-BE49-F238E27FC236}">
              <a16:creationId xmlns:a16="http://schemas.microsoft.com/office/drawing/2014/main" id="{B633126F-1A96-4D43-850B-70B6A16E9FCD}"/>
            </a:ext>
          </a:extLst>
        </xdr:cNvPr>
        <xdr:cNvSpPr/>
      </xdr:nvSpPr>
      <xdr:spPr>
        <a:xfrm flipH="1">
          <a:off x="15620998" y="228600"/>
          <a:ext cx="1476376" cy="454397"/>
        </a:xfrm>
        <a:prstGeom prst="leftArrow">
          <a:avLst>
            <a:gd name="adj1" fmla="val 65613"/>
            <a:gd name="adj2" fmla="val 48700"/>
          </a:avLst>
        </a:prstGeom>
        <a:solidFill>
          <a:schemeClr val="accent3">
            <a:lumMod val="7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Summary</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95251</xdr:colOff>
      <xdr:row>0</xdr:row>
      <xdr:rowOff>116416</xdr:rowOff>
    </xdr:from>
    <xdr:to>
      <xdr:col>0</xdr:col>
      <xdr:colOff>704850</xdr:colOff>
      <xdr:row>2</xdr:row>
      <xdr:rowOff>133350</xdr:rowOff>
    </xdr:to>
    <xdr:sp macro="" textlink="">
      <xdr:nvSpPr>
        <xdr:cNvPr id="3" name="Pfeil nach links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5251" y="116416"/>
          <a:ext cx="609599" cy="340784"/>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zurück</a:t>
          </a:r>
        </a:p>
      </xdr:txBody>
    </xdr:sp>
    <xdr:clientData/>
  </xdr:twoCellAnchor>
  <xdr:twoCellAnchor>
    <xdr:from>
      <xdr:col>15</xdr:col>
      <xdr:colOff>76199</xdr:colOff>
      <xdr:row>3</xdr:row>
      <xdr:rowOff>104774</xdr:rowOff>
    </xdr:from>
    <xdr:to>
      <xdr:col>16</xdr:col>
      <xdr:colOff>466718</xdr:colOff>
      <xdr:row>5</xdr:row>
      <xdr:rowOff>19049</xdr:rowOff>
    </xdr:to>
    <xdr:sp macro="" textlink="">
      <xdr:nvSpPr>
        <xdr:cNvPr id="5" name="Pfeil nach links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flipH="1">
          <a:off x="10477499" y="590549"/>
          <a:ext cx="1009644" cy="257175"/>
        </a:xfrm>
        <a:prstGeom prst="leftArrow">
          <a:avLst>
            <a:gd name="adj1" fmla="val 65613"/>
            <a:gd name="adj2" fmla="val 48700"/>
          </a:avLst>
        </a:prstGeom>
        <a:solidFill>
          <a:schemeClr val="bg1">
            <a:lumMod val="6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900">
              <a:latin typeface="Tahoma" panose="020B0604030504040204" pitchFamily="34" charset="0"/>
              <a:ea typeface="Tahoma" panose="020B0604030504040204" pitchFamily="34" charset="0"/>
              <a:cs typeface="Tahoma" panose="020B0604030504040204" pitchFamily="34" charset="0"/>
            </a:rPr>
            <a:t>CONNECT</a:t>
          </a:r>
        </a:p>
      </xdr:txBody>
    </xdr:sp>
    <xdr:clientData/>
  </xdr:twoCellAnchor>
  <xdr:twoCellAnchor>
    <xdr:from>
      <xdr:col>15</xdr:col>
      <xdr:colOff>76198</xdr:colOff>
      <xdr:row>0</xdr:row>
      <xdr:rowOff>123824</xdr:rowOff>
    </xdr:from>
    <xdr:to>
      <xdr:col>16</xdr:col>
      <xdr:colOff>552449</xdr:colOff>
      <xdr:row>2</xdr:row>
      <xdr:rowOff>38099</xdr:rowOff>
    </xdr:to>
    <xdr:sp macro="" textlink="">
      <xdr:nvSpPr>
        <xdr:cNvPr id="6" name="Pfeil nach links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flipH="1">
          <a:off x="10639423" y="123824"/>
          <a:ext cx="1095376" cy="238125"/>
        </a:xfrm>
        <a:prstGeom prst="leftArrow">
          <a:avLst>
            <a:gd name="adj1" fmla="val 65613"/>
            <a:gd name="adj2" fmla="val 48700"/>
          </a:avLst>
        </a:prstGeom>
        <a:solidFill>
          <a:schemeClr val="accent3">
            <a:lumMod val="7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900">
              <a:latin typeface="Tahoma" panose="020B0604030504040204" pitchFamily="34" charset="0"/>
              <a:ea typeface="Tahoma" panose="020B0604030504040204" pitchFamily="34" charset="0"/>
              <a:cs typeface="Tahoma" panose="020B0604030504040204" pitchFamily="34" charset="0"/>
            </a:rPr>
            <a:t>Zusammenfassung</a:t>
          </a:r>
        </a:p>
      </xdr:txBody>
    </xdr:sp>
    <xdr:clientData/>
  </xdr:twoCellAnchor>
  <xdr:twoCellAnchor>
    <xdr:from>
      <xdr:col>0</xdr:col>
      <xdr:colOff>248771</xdr:colOff>
      <xdr:row>3</xdr:row>
      <xdr:rowOff>94128</xdr:rowOff>
    </xdr:from>
    <xdr:to>
      <xdr:col>1</xdr:col>
      <xdr:colOff>867895</xdr:colOff>
      <xdr:row>4</xdr:row>
      <xdr:rowOff>103655</xdr:rowOff>
    </xdr:to>
    <xdr:grpSp>
      <xdr:nvGrpSpPr>
        <xdr:cNvPr id="10" name="Gruppieren 9">
          <a:extLst>
            <a:ext uri="{FF2B5EF4-FFF2-40B4-BE49-F238E27FC236}">
              <a16:creationId xmlns:a16="http://schemas.microsoft.com/office/drawing/2014/main" id="{00000000-0008-0000-0500-00000A000000}"/>
            </a:ext>
          </a:extLst>
        </xdr:cNvPr>
        <xdr:cNvGrpSpPr/>
      </xdr:nvGrpSpPr>
      <xdr:grpSpPr>
        <a:xfrm>
          <a:off x="0" y="564775"/>
          <a:ext cx="0" cy="166409"/>
          <a:chOff x="3686748" y="4221087"/>
          <a:chExt cx="2232352" cy="164562"/>
        </a:xfrm>
      </xdr:grpSpPr>
      <xdr:sp macro="" textlink="">
        <xdr:nvSpPr>
          <xdr:cNvPr id="11" name="Rechteck 10">
            <a:extLst>
              <a:ext uri="{FF2B5EF4-FFF2-40B4-BE49-F238E27FC236}">
                <a16:creationId xmlns:a16="http://schemas.microsoft.com/office/drawing/2014/main" id="{00000000-0008-0000-0500-00000B000000}"/>
              </a:ext>
            </a:extLst>
          </xdr:cNvPr>
          <xdr:cNvSpPr/>
        </xdr:nvSpPr>
        <xdr:spPr>
          <a:xfrm>
            <a:off x="3686748" y="4221088"/>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12" name="Rechteck 11">
            <a:extLst>
              <a:ext uri="{FF2B5EF4-FFF2-40B4-BE49-F238E27FC236}">
                <a16:creationId xmlns:a16="http://schemas.microsoft.com/office/drawing/2014/main" id="{00000000-0008-0000-0500-00000C000000}"/>
              </a:ext>
            </a:extLst>
          </xdr:cNvPr>
          <xdr:cNvSpPr/>
        </xdr:nvSpPr>
        <xdr:spPr>
          <a:xfrm>
            <a:off x="3980108" y="4221088"/>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13" name="Rechteck 12">
            <a:extLst>
              <a:ext uri="{FF2B5EF4-FFF2-40B4-BE49-F238E27FC236}">
                <a16:creationId xmlns:a16="http://schemas.microsoft.com/office/drawing/2014/main" id="{00000000-0008-0000-0500-00000D000000}"/>
              </a:ext>
            </a:extLst>
          </xdr:cNvPr>
          <xdr:cNvSpPr/>
        </xdr:nvSpPr>
        <xdr:spPr>
          <a:xfrm>
            <a:off x="4272440" y="4221088"/>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4" name="Rechteck 13">
            <a:extLst>
              <a:ext uri="{FF2B5EF4-FFF2-40B4-BE49-F238E27FC236}">
                <a16:creationId xmlns:a16="http://schemas.microsoft.com/office/drawing/2014/main" id="{00000000-0008-0000-0500-00000E000000}"/>
              </a:ext>
            </a:extLst>
          </xdr:cNvPr>
          <xdr:cNvSpPr/>
        </xdr:nvSpPr>
        <xdr:spPr>
          <a:xfrm>
            <a:off x="4566428" y="4221087"/>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5" name="Rechteck 14">
            <a:extLst>
              <a:ext uri="{FF2B5EF4-FFF2-40B4-BE49-F238E27FC236}">
                <a16:creationId xmlns:a16="http://schemas.microsoft.com/office/drawing/2014/main" id="{00000000-0008-0000-0500-00000F000000}"/>
              </a:ext>
            </a:extLst>
          </xdr:cNvPr>
          <xdr:cNvSpPr/>
        </xdr:nvSpPr>
        <xdr:spPr>
          <a:xfrm>
            <a:off x="4859788" y="4221087"/>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6" name="Rechteck 15">
            <a:extLst>
              <a:ext uri="{FF2B5EF4-FFF2-40B4-BE49-F238E27FC236}">
                <a16:creationId xmlns:a16="http://schemas.microsoft.com/office/drawing/2014/main" id="{00000000-0008-0000-0500-000010000000}"/>
              </a:ext>
            </a:extLst>
          </xdr:cNvPr>
          <xdr:cNvSpPr/>
        </xdr:nvSpPr>
        <xdr:spPr>
          <a:xfrm>
            <a:off x="5152120" y="4221087"/>
            <a:ext cx="325406" cy="164561"/>
          </a:xfrm>
          <a:prstGeom prst="rect">
            <a:avLst/>
          </a:prstGeom>
          <a:solidFill>
            <a:schemeClr val="accent3">
              <a:lumMod val="20000"/>
              <a:lumOff val="80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500">
                <a:solidFill>
                  <a:schemeClr val="tx1"/>
                </a:solidFill>
                <a:latin typeface="Tahoma" panose="020B0604030504040204" pitchFamily="34" charset="0"/>
                <a:ea typeface="Tahoma" panose="020B0604030504040204" pitchFamily="34" charset="0"/>
                <a:cs typeface="Tahoma" panose="020B0604030504040204" pitchFamily="34" charset="0"/>
              </a:rPr>
              <a:t>CONNECT</a:t>
            </a:r>
          </a:p>
        </xdr:txBody>
      </xdr:sp>
      <xdr:sp macro="" textlink="">
        <xdr:nvSpPr>
          <xdr:cNvPr id="17" name="Rechteck 16">
            <a:extLst>
              <a:ext uri="{FF2B5EF4-FFF2-40B4-BE49-F238E27FC236}">
                <a16:creationId xmlns:a16="http://schemas.microsoft.com/office/drawing/2014/main" id="{00000000-0008-0000-0500-000011000000}"/>
              </a:ext>
            </a:extLst>
          </xdr:cNvPr>
          <xdr:cNvSpPr/>
        </xdr:nvSpPr>
        <xdr:spPr>
          <a:xfrm>
            <a:off x="5479060" y="4221087"/>
            <a:ext cx="440040" cy="164561"/>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500">
                <a:solidFill>
                  <a:schemeClr val="tx1"/>
                </a:solidFill>
                <a:latin typeface="Tahoma" panose="020B0604030504040204" pitchFamily="34" charset="0"/>
                <a:ea typeface="Tahoma" panose="020B0604030504040204" pitchFamily="34" charset="0"/>
                <a:cs typeface="Tahoma" panose="020B0604030504040204" pitchFamily="34" charset="0"/>
              </a:rPr>
              <a:t>Zusammen-fassung</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123825</xdr:colOff>
      <xdr:row>0</xdr:row>
      <xdr:rowOff>161925</xdr:rowOff>
    </xdr:from>
    <xdr:to>
      <xdr:col>0</xdr:col>
      <xdr:colOff>809625</xdr:colOff>
      <xdr:row>2</xdr:row>
      <xdr:rowOff>97847</xdr:rowOff>
    </xdr:to>
    <xdr:sp macro="" textlink="">
      <xdr:nvSpPr>
        <xdr:cNvPr id="2" name="Pfeil nach link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123825" y="161925"/>
          <a:ext cx="685800" cy="326447"/>
        </a:xfrm>
        <a:prstGeom prst="leftArrow">
          <a:avLst/>
        </a:prstGeom>
        <a:solidFill>
          <a:schemeClr val="bg1">
            <a:lumMod val="75000"/>
          </a:schemeClr>
        </a:solidFill>
        <a:ln w="317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100"/>
            <a:t>back</a:t>
          </a:r>
        </a:p>
      </xdr:txBody>
    </xdr:sp>
    <xdr:clientData/>
  </xdr:twoCellAnchor>
  <xdr:twoCellAnchor>
    <xdr:from>
      <xdr:col>2</xdr:col>
      <xdr:colOff>66674</xdr:colOff>
      <xdr:row>1</xdr:row>
      <xdr:rowOff>28575</xdr:rowOff>
    </xdr:from>
    <xdr:to>
      <xdr:col>3</xdr:col>
      <xdr:colOff>609599</xdr:colOff>
      <xdr:row>2</xdr:row>
      <xdr:rowOff>123825</xdr:rowOff>
    </xdr:to>
    <xdr:sp macro="" textlink="">
      <xdr:nvSpPr>
        <xdr:cNvPr id="5" name="Pfeil nach links 4">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flipH="1">
          <a:off x="10163174" y="219075"/>
          <a:ext cx="1123950" cy="285750"/>
        </a:xfrm>
        <a:prstGeom prst="leftArrow">
          <a:avLst>
            <a:gd name="adj1" fmla="val 65613"/>
            <a:gd name="adj2" fmla="val 48700"/>
          </a:avLst>
        </a:prstGeom>
        <a:solidFill>
          <a:schemeClr val="accent3">
            <a:lumMod val="7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de-DE" sz="1000">
              <a:latin typeface="Tahoma" panose="020B0604030504040204" pitchFamily="34" charset="0"/>
              <a:ea typeface="Tahoma" panose="020B0604030504040204" pitchFamily="34" charset="0"/>
              <a:cs typeface="Tahoma" panose="020B0604030504040204" pitchFamily="34" charset="0"/>
            </a:rPr>
            <a:t>Summary</a:t>
          </a:r>
        </a:p>
      </xdr:txBody>
    </xdr:sp>
    <xdr:clientData/>
  </xdr:twoCellAnchor>
  <xdr:twoCellAnchor>
    <xdr:from>
      <xdr:col>0</xdr:col>
      <xdr:colOff>933450</xdr:colOff>
      <xdr:row>1</xdr:row>
      <xdr:rowOff>47625</xdr:rowOff>
    </xdr:from>
    <xdr:to>
      <xdr:col>0</xdr:col>
      <xdr:colOff>3067050</xdr:colOff>
      <xdr:row>2</xdr:row>
      <xdr:rowOff>9525</xdr:rowOff>
    </xdr:to>
    <xdr:grpSp>
      <xdr:nvGrpSpPr>
        <xdr:cNvPr id="6" name="Gruppieren 5">
          <a:extLst>
            <a:ext uri="{FF2B5EF4-FFF2-40B4-BE49-F238E27FC236}">
              <a16:creationId xmlns:a16="http://schemas.microsoft.com/office/drawing/2014/main" id="{00000000-0008-0000-0700-000006000000}"/>
            </a:ext>
          </a:extLst>
        </xdr:cNvPr>
        <xdr:cNvGrpSpPr/>
      </xdr:nvGrpSpPr>
      <xdr:grpSpPr>
        <a:xfrm>
          <a:off x="0" y="238125"/>
          <a:ext cx="0" cy="152400"/>
          <a:chOff x="3684675" y="4509120"/>
          <a:chExt cx="2232352" cy="164562"/>
        </a:xfrm>
      </xdr:grpSpPr>
      <xdr:sp macro="" textlink="">
        <xdr:nvSpPr>
          <xdr:cNvPr id="7" name="Rechteck 6">
            <a:extLst>
              <a:ext uri="{FF2B5EF4-FFF2-40B4-BE49-F238E27FC236}">
                <a16:creationId xmlns:a16="http://schemas.microsoft.com/office/drawing/2014/main" id="{00000000-0008-0000-0700-000007000000}"/>
              </a:ext>
            </a:extLst>
          </xdr:cNvPr>
          <xdr:cNvSpPr/>
        </xdr:nvSpPr>
        <xdr:spPr>
          <a:xfrm>
            <a:off x="3684675" y="4509121"/>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1</a:t>
            </a:r>
          </a:p>
        </xdr:txBody>
      </xdr:sp>
      <xdr:sp macro="" textlink="">
        <xdr:nvSpPr>
          <xdr:cNvPr id="8" name="Rechteck 7">
            <a:extLst>
              <a:ext uri="{FF2B5EF4-FFF2-40B4-BE49-F238E27FC236}">
                <a16:creationId xmlns:a16="http://schemas.microsoft.com/office/drawing/2014/main" id="{00000000-0008-0000-0700-000008000000}"/>
              </a:ext>
            </a:extLst>
          </xdr:cNvPr>
          <xdr:cNvSpPr/>
        </xdr:nvSpPr>
        <xdr:spPr>
          <a:xfrm>
            <a:off x="3978035" y="4509121"/>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2</a:t>
            </a:r>
          </a:p>
        </xdr:txBody>
      </xdr:sp>
      <xdr:sp macro="" textlink="">
        <xdr:nvSpPr>
          <xdr:cNvPr id="9" name="Rechteck 8">
            <a:extLst>
              <a:ext uri="{FF2B5EF4-FFF2-40B4-BE49-F238E27FC236}">
                <a16:creationId xmlns:a16="http://schemas.microsoft.com/office/drawing/2014/main" id="{00000000-0008-0000-0700-000009000000}"/>
              </a:ext>
            </a:extLst>
          </xdr:cNvPr>
          <xdr:cNvSpPr/>
        </xdr:nvSpPr>
        <xdr:spPr>
          <a:xfrm>
            <a:off x="4270367" y="4509121"/>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3</a:t>
            </a:r>
          </a:p>
        </xdr:txBody>
      </xdr:sp>
      <xdr:sp macro="" textlink="">
        <xdr:nvSpPr>
          <xdr:cNvPr id="10" name="Rechteck 9">
            <a:extLst>
              <a:ext uri="{FF2B5EF4-FFF2-40B4-BE49-F238E27FC236}">
                <a16:creationId xmlns:a16="http://schemas.microsoft.com/office/drawing/2014/main" id="{00000000-0008-0000-0700-00000A000000}"/>
              </a:ext>
            </a:extLst>
          </xdr:cNvPr>
          <xdr:cNvSpPr/>
        </xdr:nvSpPr>
        <xdr:spPr>
          <a:xfrm>
            <a:off x="4564355" y="4509120"/>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4</a:t>
            </a:r>
          </a:p>
        </xdr:txBody>
      </xdr:sp>
      <xdr:sp macro="" textlink="">
        <xdr:nvSpPr>
          <xdr:cNvPr id="11" name="Rechteck 10">
            <a:extLst>
              <a:ext uri="{FF2B5EF4-FFF2-40B4-BE49-F238E27FC236}">
                <a16:creationId xmlns:a16="http://schemas.microsoft.com/office/drawing/2014/main" id="{00000000-0008-0000-0700-00000B000000}"/>
              </a:ext>
            </a:extLst>
          </xdr:cNvPr>
          <xdr:cNvSpPr/>
        </xdr:nvSpPr>
        <xdr:spPr>
          <a:xfrm>
            <a:off x="4857715" y="4509120"/>
            <a:ext cx="293360"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1000">
                <a:solidFill>
                  <a:schemeClr val="tx1"/>
                </a:solidFill>
                <a:latin typeface="Tahoma" panose="020B0604030504040204" pitchFamily="34" charset="0"/>
                <a:ea typeface="Tahoma" panose="020B0604030504040204" pitchFamily="34" charset="0"/>
                <a:cs typeface="Tahoma" panose="020B0604030504040204" pitchFamily="34" charset="0"/>
              </a:rPr>
              <a:t>5</a:t>
            </a:r>
          </a:p>
        </xdr:txBody>
      </xdr:sp>
      <xdr:sp macro="" textlink="">
        <xdr:nvSpPr>
          <xdr:cNvPr id="12" name="Rechteck 11">
            <a:extLst>
              <a:ext uri="{FF2B5EF4-FFF2-40B4-BE49-F238E27FC236}">
                <a16:creationId xmlns:a16="http://schemas.microsoft.com/office/drawing/2014/main" id="{00000000-0008-0000-0700-00000C000000}"/>
              </a:ext>
            </a:extLst>
          </xdr:cNvPr>
          <xdr:cNvSpPr/>
        </xdr:nvSpPr>
        <xdr:spPr>
          <a:xfrm>
            <a:off x="5150047" y="4509120"/>
            <a:ext cx="325406" cy="164561"/>
          </a:xfrm>
          <a:prstGeom prst="rect">
            <a:avLst/>
          </a:prstGeom>
          <a:solidFill>
            <a:srgbClr val="00B05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500">
                <a:solidFill>
                  <a:schemeClr val="tx1"/>
                </a:solidFill>
                <a:latin typeface="Tahoma" panose="020B0604030504040204" pitchFamily="34" charset="0"/>
                <a:ea typeface="Tahoma" panose="020B0604030504040204" pitchFamily="34" charset="0"/>
                <a:cs typeface="Tahoma" panose="020B0604030504040204" pitchFamily="34" charset="0"/>
              </a:rPr>
              <a:t>CONNECT</a:t>
            </a:r>
          </a:p>
        </xdr:txBody>
      </xdr:sp>
      <xdr:sp macro="" textlink="">
        <xdr:nvSpPr>
          <xdr:cNvPr id="13" name="Rechteck 12">
            <a:extLst>
              <a:ext uri="{FF2B5EF4-FFF2-40B4-BE49-F238E27FC236}">
                <a16:creationId xmlns:a16="http://schemas.microsoft.com/office/drawing/2014/main" id="{00000000-0008-0000-0700-00000D000000}"/>
              </a:ext>
            </a:extLst>
          </xdr:cNvPr>
          <xdr:cNvSpPr/>
        </xdr:nvSpPr>
        <xdr:spPr>
          <a:xfrm>
            <a:off x="5476987" y="4509120"/>
            <a:ext cx="440040" cy="164561"/>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de-DE" sz="500">
                <a:solidFill>
                  <a:schemeClr val="tx1"/>
                </a:solidFill>
                <a:latin typeface="Tahoma" panose="020B0604030504040204" pitchFamily="34" charset="0"/>
                <a:ea typeface="Tahoma" panose="020B0604030504040204" pitchFamily="34" charset="0"/>
                <a:cs typeface="Tahoma" panose="020B0604030504040204" pitchFamily="34" charset="0"/>
              </a:rPr>
              <a:t>summary</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SN/Arbeitsverzeichnis%20Dokumente/Freigabeversionen/CSN_CSN-AS/1_Deutsch/2_Infodokumente/Arbeitsst&#228;nde/CSN-Steckbrief_1.21_%20Version%20f&#252;r%20&#220;bernahme%20%20EN%20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SN/Arbeitsverzeichnis%20Dokumente/Freigabeversionen/CSN_CSN-AS/1_Deutsch/2_Infodokumente/Arbeitsst&#228;nde/CSN-Steckbrief_1.21a_D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SN\Arbeitsverzeichnis%20Dokumente\Freigabeversionen\CSN_CSN-AS\1_Deutsch\2_Infodokumente\Arbeitsst&#228;nde\CSN-Steckbrief_1.13_deuts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Unternehmensdaten"/>
      <sheetName val="Ansprechpartner"/>
      <sheetName val="Konzern-Applikationen"/>
      <sheetName val="Konzern-Ansprechpartner"/>
      <sheetName val="ZUSATZ_Standorte Datenzugriff"/>
      <sheetName val="Zusatz Applikation CONNECT"/>
      <sheetName val="TISAX Status"/>
      <sheetName val="TISAX Informationen"/>
      <sheetName val="ZUSATZ_Add-On myPLM"/>
      <sheetName val="Bilder"/>
      <sheetName val="Screenshot"/>
      <sheetName val="Zusammenfassung"/>
      <sheetName val="Tabelle1"/>
      <sheetName val="public.landessprache"/>
      <sheetName val="Hilfsblatt_Vertragsvorschau"/>
      <sheetName val="Stammdaten"/>
    </sheetNames>
    <sheetDataSet>
      <sheetData sheetId="0"/>
      <sheetData sheetId="1">
        <row r="41">
          <cell r="B41" t="str">
            <v>zusatz</v>
          </cell>
        </row>
      </sheetData>
      <sheetData sheetId="2"/>
      <sheetData sheetId="3">
        <row r="118">
          <cell r="B118">
            <v>0</v>
          </cell>
        </row>
      </sheetData>
      <sheetData sheetId="4"/>
      <sheetData sheetId="5"/>
      <sheetData sheetId="6"/>
      <sheetData sheetId="7"/>
      <sheetData sheetId="8"/>
      <sheetData sheetId="9"/>
      <sheetData sheetId="10">
        <row r="1">
          <cell r="D1">
            <v>1</v>
          </cell>
        </row>
      </sheetData>
      <sheetData sheetId="11">
        <row r="1">
          <cell r="D1">
            <v>1</v>
          </cell>
        </row>
      </sheetData>
      <sheetData sheetId="12">
        <row r="13">
          <cell r="C13">
            <v>12345678</v>
          </cell>
        </row>
        <row r="18">
          <cell r="C18" t="str">
            <v>ja</v>
          </cell>
        </row>
        <row r="50">
          <cell r="C50" t="str">
            <v>nicht befüllt</v>
          </cell>
        </row>
        <row r="51">
          <cell r="C51" t="str">
            <v>nicht befüllt</v>
          </cell>
        </row>
        <row r="52">
          <cell r="C52" t="str">
            <v>nicht befüllt</v>
          </cell>
        </row>
        <row r="53">
          <cell r="C53" t="str">
            <v>nicht befüllt</v>
          </cell>
        </row>
        <row r="54">
          <cell r="C54" t="str">
            <v>nicht befüllt</v>
          </cell>
        </row>
        <row r="55">
          <cell r="C55" t="str">
            <v>nicht befüllt</v>
          </cell>
        </row>
        <row r="81">
          <cell r="C81" t="str">
            <v xml:space="preserve">Marke: </v>
          </cell>
        </row>
        <row r="82">
          <cell r="C82" t="str">
            <v>nicht befüllt</v>
          </cell>
        </row>
        <row r="83">
          <cell r="C83" t="str">
            <v>nicht befüllt</v>
          </cell>
        </row>
        <row r="84">
          <cell r="C84" t="str">
            <v>nicht befüllt</v>
          </cell>
        </row>
        <row r="85">
          <cell r="C85" t="str">
            <v>nicht befüllt</v>
          </cell>
        </row>
        <row r="86">
          <cell r="C86" t="str">
            <v>nicht befüllt</v>
          </cell>
        </row>
        <row r="87">
          <cell r="C87" t="str">
            <v>nicht befüllt</v>
          </cell>
        </row>
        <row r="88">
          <cell r="C88" t="str">
            <v>nicht befüllt</v>
          </cell>
        </row>
        <row r="89">
          <cell r="C89" t="str">
            <v>nicht befüllt</v>
          </cell>
        </row>
        <row r="90">
          <cell r="C90" t="str">
            <v>nicht befüllt</v>
          </cell>
        </row>
        <row r="91">
          <cell r="C91" t="str">
            <v>nicht befüllt</v>
          </cell>
        </row>
        <row r="92">
          <cell r="C92" t="str">
            <v>nicht befüllt</v>
          </cell>
        </row>
        <row r="93">
          <cell r="C93" t="str">
            <v>nicht befüllt</v>
          </cell>
        </row>
        <row r="94">
          <cell r="C94" t="str">
            <v>WENN('Konzern-Applikationen'!B23="";"nicht befüllt";'Konzern-Applikationen'!B23)</v>
          </cell>
        </row>
        <row r="95">
          <cell r="C95" t="str">
            <v>nicht befüllt</v>
          </cell>
        </row>
        <row r="96">
          <cell r="C96" t="str">
            <v>nicht befüllt</v>
          </cell>
        </row>
        <row r="98">
          <cell r="C98" t="str">
            <v>nicht befüllt</v>
          </cell>
        </row>
        <row r="99">
          <cell r="C99" t="str">
            <v>nicht befüllt</v>
          </cell>
        </row>
        <row r="103">
          <cell r="C103" t="str">
            <v xml:space="preserve">Marke: </v>
          </cell>
        </row>
        <row r="104">
          <cell r="C104" t="str">
            <v>nicht befüllt</v>
          </cell>
        </row>
        <row r="105">
          <cell r="C105" t="str">
            <v>nicht befüllt</v>
          </cell>
        </row>
        <row r="106">
          <cell r="C106" t="str">
            <v>nicht befüllt</v>
          </cell>
        </row>
        <row r="107">
          <cell r="C107" t="str">
            <v>nicht befüllt</v>
          </cell>
        </row>
        <row r="108">
          <cell r="C108" t="str">
            <v>nicht befüllt</v>
          </cell>
        </row>
        <row r="109">
          <cell r="C109" t="str">
            <v>nicht befüllt</v>
          </cell>
        </row>
        <row r="110">
          <cell r="C110" t="str">
            <v>nicht befüllt</v>
          </cell>
        </row>
        <row r="111">
          <cell r="C111" t="str">
            <v>nicht befüllt</v>
          </cell>
        </row>
        <row r="112">
          <cell r="C112" t="str">
            <v>nicht befüllt</v>
          </cell>
        </row>
        <row r="113">
          <cell r="C113" t="str">
            <v>nicht befüllt</v>
          </cell>
        </row>
        <row r="114">
          <cell r="C114" t="str">
            <v>nicht befüllt</v>
          </cell>
        </row>
        <row r="115">
          <cell r="C115" t="str">
            <v>nicht befüllt</v>
          </cell>
        </row>
        <row r="116">
          <cell r="C116" t="str">
            <v>WENN('Konzern-Applikationen'!C23="";"nicht befüllt";'Konzern-Applikationen'!C23)</v>
          </cell>
        </row>
        <row r="117">
          <cell r="C117" t="str">
            <v>nicht befüllt</v>
          </cell>
        </row>
        <row r="118">
          <cell r="C118" t="str">
            <v>nicht befüllt</v>
          </cell>
        </row>
        <row r="120">
          <cell r="C120" t="str">
            <v>nicht befüllt</v>
          </cell>
        </row>
        <row r="121">
          <cell r="C121" t="str">
            <v>nicht befüllt</v>
          </cell>
        </row>
        <row r="188">
          <cell r="C188" t="str">
            <v>nicht befüllt</v>
          </cell>
        </row>
      </sheetData>
      <sheetData sheetId="13"/>
      <sheetData sheetId="14"/>
      <sheetData sheetId="15"/>
      <sheetData sheetId="16">
        <row r="45">
          <cell r="A45" t="str">
            <v>1-Normaler Schutzbedarf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Unternehmensdaten"/>
      <sheetName val="Ansprechpartner"/>
      <sheetName val="Konzern-Applikationen"/>
      <sheetName val="Konzern-Ansprechpartner"/>
      <sheetName val="ZUSATZ_Standorte Datenzugriff"/>
      <sheetName val="Zusatz Applikation CONNECT"/>
      <sheetName val="TISAX Status"/>
      <sheetName val="TISAX Informationen"/>
      <sheetName val="ZUSATZ_Add-On myPLM"/>
      <sheetName val="Bilder"/>
      <sheetName val="Screenshot"/>
      <sheetName val="Zusammenfassung"/>
      <sheetName val="Tabelle1"/>
      <sheetName val="public.landessprache"/>
      <sheetName val="Hilfsblatt_Vertragsvorschau"/>
      <sheetName val="Stammdaten"/>
    </sheetNames>
    <sheetDataSet>
      <sheetData sheetId="0" refreshError="1"/>
      <sheetData sheetId="1"/>
      <sheetData sheetId="2"/>
      <sheetData sheetId="3">
        <row r="118">
          <cell r="B118">
            <v>0</v>
          </cell>
        </row>
      </sheetData>
      <sheetData sheetId="4" refreshError="1"/>
      <sheetData sheetId="5"/>
      <sheetData sheetId="6" refreshError="1"/>
      <sheetData sheetId="7" refreshError="1"/>
      <sheetData sheetId="8" refreshError="1"/>
      <sheetData sheetId="9" refreshError="1"/>
      <sheetData sheetId="10">
        <row r="1">
          <cell r="D1">
            <v>1</v>
          </cell>
        </row>
      </sheetData>
      <sheetData sheetId="11">
        <row r="1">
          <cell r="D1">
            <v>1</v>
          </cell>
        </row>
      </sheetData>
      <sheetData sheetId="12">
        <row r="13">
          <cell r="C13" t="str">
            <v>nicht befüllt</v>
          </cell>
        </row>
        <row r="18">
          <cell r="C18" t="str">
            <v>nicht befüllt</v>
          </cell>
        </row>
        <row r="71">
          <cell r="C71" t="str">
            <v>nicht befüllt</v>
          </cell>
        </row>
        <row r="72">
          <cell r="C72" t="str">
            <v>nicht befüllt</v>
          </cell>
        </row>
        <row r="73">
          <cell r="C73" t="str">
            <v>nicht befüllt</v>
          </cell>
        </row>
        <row r="74">
          <cell r="C74" t="str">
            <v>nicht befüllt</v>
          </cell>
        </row>
        <row r="75">
          <cell r="C75" t="str">
            <v>nicht befüllt</v>
          </cell>
        </row>
        <row r="76">
          <cell r="C76" t="str">
            <v>nicht befüllt</v>
          </cell>
        </row>
        <row r="102">
          <cell r="C102" t="str">
            <v xml:space="preserve">Marke: </v>
          </cell>
        </row>
        <row r="103">
          <cell r="C103" t="str">
            <v>nicht befüllt</v>
          </cell>
        </row>
        <row r="104">
          <cell r="C104" t="str">
            <v>nicht befüllt</v>
          </cell>
        </row>
        <row r="105">
          <cell r="C105" t="str">
            <v>nicht befüllt</v>
          </cell>
        </row>
        <row r="106">
          <cell r="C106" t="str">
            <v>nicht befüllt</v>
          </cell>
        </row>
        <row r="107">
          <cell r="C107" t="str">
            <v>nicht befüllt</v>
          </cell>
        </row>
        <row r="108">
          <cell r="C108" t="str">
            <v>nicht befüllt</v>
          </cell>
        </row>
        <row r="109">
          <cell r="C109" t="str">
            <v>nicht befüllt</v>
          </cell>
        </row>
        <row r="110">
          <cell r="C110" t="str">
            <v>nicht befüllt</v>
          </cell>
        </row>
        <row r="111">
          <cell r="C111" t="str">
            <v>nicht befüllt</v>
          </cell>
        </row>
        <row r="112">
          <cell r="C112" t="str">
            <v>nicht befüllt</v>
          </cell>
        </row>
        <row r="113">
          <cell r="C113" t="str">
            <v>nicht befüllt</v>
          </cell>
        </row>
        <row r="114">
          <cell r="C114" t="str">
            <v>nicht befüllt</v>
          </cell>
        </row>
        <row r="115">
          <cell r="C115" t="str">
            <v>WENN('Konzern-Applikationen'!B23="";"nicht befüllt";'Konzern-Applikationen'!B23)</v>
          </cell>
        </row>
        <row r="116">
          <cell r="C116" t="str">
            <v>nicht befüllt</v>
          </cell>
        </row>
        <row r="117">
          <cell r="C117" t="str">
            <v>nicht befüllt</v>
          </cell>
        </row>
        <row r="119">
          <cell r="C119" t="str">
            <v>nicht befüllt</v>
          </cell>
        </row>
        <row r="120">
          <cell r="C120" t="str">
            <v>nicht befüllt</v>
          </cell>
        </row>
        <row r="124">
          <cell r="C124" t="str">
            <v xml:space="preserve">Marke: </v>
          </cell>
        </row>
        <row r="125">
          <cell r="C125" t="str">
            <v>nicht befüllt</v>
          </cell>
        </row>
        <row r="126">
          <cell r="C126" t="str">
            <v>nicht befüllt</v>
          </cell>
        </row>
        <row r="127">
          <cell r="C127" t="str">
            <v>nicht befüllt</v>
          </cell>
        </row>
        <row r="128">
          <cell r="C128" t="str">
            <v>nicht befüllt</v>
          </cell>
        </row>
        <row r="129">
          <cell r="C129" t="str">
            <v>nicht befüllt</v>
          </cell>
        </row>
        <row r="130">
          <cell r="C130" t="str">
            <v>nicht befüllt</v>
          </cell>
        </row>
        <row r="131">
          <cell r="C131" t="str">
            <v>nicht befüllt</v>
          </cell>
        </row>
        <row r="132">
          <cell r="C132" t="str">
            <v>nicht befüllt</v>
          </cell>
        </row>
        <row r="133">
          <cell r="C133" t="str">
            <v>nicht befüllt</v>
          </cell>
        </row>
        <row r="134">
          <cell r="C134" t="str">
            <v>nicht befüllt</v>
          </cell>
        </row>
        <row r="135">
          <cell r="C135" t="str">
            <v>nicht befüllt</v>
          </cell>
        </row>
        <row r="136">
          <cell r="C136" t="str">
            <v>nicht befüllt</v>
          </cell>
        </row>
        <row r="137">
          <cell r="C137" t="str">
            <v>WENN('Konzern-Applikationen'!C23="";"nicht befüllt";'Konzern-Applikationen'!C23)</v>
          </cell>
        </row>
        <row r="138">
          <cell r="C138" t="str">
            <v>nicht befüllt</v>
          </cell>
        </row>
        <row r="139">
          <cell r="C139" t="str">
            <v>nicht befüllt</v>
          </cell>
        </row>
        <row r="141">
          <cell r="C141" t="str">
            <v>nicht befüllt</v>
          </cell>
        </row>
        <row r="142">
          <cell r="C142" t="str">
            <v>nicht befüllt</v>
          </cell>
        </row>
        <row r="209">
          <cell r="C209" t="str">
            <v>nicht befüllt</v>
          </cell>
        </row>
      </sheetData>
      <sheetData sheetId="13" refreshError="1"/>
      <sheetData sheetId="14" refreshError="1"/>
      <sheetData sheetId="15" refreshError="1"/>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landessprache"/>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perational-services.de/en/supplier-solutions/news/details/typ/neuigkeit/eintrag/projektspezifische-ergaenzungen-zum-datenschutz-im-gesamtprojekt-csn-1/" TargetMode="External"/><Relationship Id="rId2" Type="http://schemas.openxmlformats.org/officeDocument/2006/relationships/hyperlink" Target="https://www.operational-services.de/en/supplier-solutions/news/details/typ/neuigkeit/eintrag/data-protection-information-according-to-the-eu-general-data-protection-regulation-eu-gdpr/" TargetMode="External"/><Relationship Id="rId1" Type="http://schemas.openxmlformats.org/officeDocument/2006/relationships/hyperlink" Target="mailto:csn.service@o-s.d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csn.service@o-s.de?subject=Return%20of%20filled%20CSN%20shortlist" TargetMode="External"/><Relationship Id="rId1" Type="http://schemas.openxmlformats.org/officeDocument/2006/relationships/hyperlink" Target="mailto:csn.service@o-s.de"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operational-services.de/en/supplier-solutions/news/details/typ/neuigkeit/eintrag/projektspezifische-ergaenzungen-zum-datenschutz-im-gesamtprojekt-csn-1/"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operational-services.de/fileadmin/user_upload/Schulungen/Dokumente/CSN/EN/CSN_Initial_Information.pdf"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autoPageBreaks="0"/>
  </sheetPr>
  <dimension ref="A1:O34"/>
  <sheetViews>
    <sheetView showGridLines="0" showRowColHeaders="0" showZeros="0" tabSelected="1" zoomScaleNormal="100" workbookViewId="0">
      <selection activeCell="A2" sqref="A2:H2"/>
    </sheetView>
  </sheetViews>
  <sheetFormatPr baseColWidth="10" defaultColWidth="11.42578125" defaultRowHeight="15" x14ac:dyDescent="0.25"/>
  <cols>
    <col min="1" max="1" width="22.85546875" style="586" customWidth="1"/>
    <col min="2" max="2" width="11.42578125" style="580"/>
    <col min="3" max="3" width="9" style="580" customWidth="1"/>
    <col min="4" max="4" width="21" style="580" customWidth="1"/>
    <col min="5" max="7" width="11.42578125" style="580"/>
    <col min="8" max="8" width="12.42578125" style="580" customWidth="1"/>
    <col min="9" max="11" width="11.42578125" style="580"/>
    <col min="12" max="12" width="0.140625" style="580" customWidth="1"/>
    <col min="13" max="16384" width="11.42578125" style="580"/>
  </cols>
  <sheetData>
    <row r="1" spans="1:15" ht="5.25" customHeight="1" x14ac:dyDescent="0.25">
      <c r="A1" s="576"/>
      <c r="B1" s="577"/>
      <c r="C1" s="577"/>
      <c r="D1" s="577"/>
      <c r="E1" s="577"/>
      <c r="F1" s="577"/>
      <c r="G1" s="577"/>
      <c r="H1" s="577"/>
      <c r="I1" s="578"/>
      <c r="J1" s="578"/>
      <c r="K1" s="578"/>
      <c r="L1" s="578"/>
      <c r="M1" s="578"/>
      <c r="N1" s="578"/>
      <c r="O1" s="579"/>
    </row>
    <row r="2" spans="1:15" ht="40.5" customHeight="1" x14ac:dyDescent="0.25">
      <c r="A2" s="959" t="s">
        <v>1074</v>
      </c>
      <c r="B2" s="960"/>
      <c r="C2" s="960"/>
      <c r="D2" s="960"/>
      <c r="E2" s="960"/>
      <c r="F2" s="960"/>
      <c r="G2" s="960"/>
      <c r="H2" s="960"/>
      <c r="I2" s="581"/>
      <c r="J2" s="581"/>
      <c r="K2" s="581"/>
      <c r="L2" s="581"/>
      <c r="M2" s="581"/>
      <c r="N2" s="581"/>
      <c r="O2" s="582"/>
    </row>
    <row r="3" spans="1:15" ht="4.5" hidden="1" customHeight="1" x14ac:dyDescent="0.25">
      <c r="A3" s="583"/>
      <c r="B3" s="584"/>
      <c r="C3" s="584"/>
      <c r="D3" s="584"/>
      <c r="E3" s="584"/>
      <c r="F3" s="584"/>
      <c r="G3" s="584"/>
      <c r="H3" s="584"/>
      <c r="I3" s="584"/>
      <c r="J3" s="584"/>
      <c r="K3" s="584"/>
      <c r="L3" s="584"/>
      <c r="M3" s="584"/>
      <c r="N3" s="584"/>
      <c r="O3" s="585"/>
    </row>
    <row r="4" spans="1:15" ht="3" hidden="1" customHeight="1" x14ac:dyDescent="0.25">
      <c r="I4" s="584"/>
      <c r="J4" s="584"/>
      <c r="K4" s="584"/>
      <c r="L4" s="584"/>
      <c r="M4" s="584"/>
      <c r="N4" s="584"/>
      <c r="O4" s="585"/>
    </row>
    <row r="5" spans="1:15" ht="4.5" hidden="1" customHeight="1" x14ac:dyDescent="0.25">
      <c r="A5" s="583"/>
      <c r="B5" s="584"/>
      <c r="C5" s="584"/>
      <c r="D5" s="584"/>
      <c r="E5" s="584"/>
      <c r="F5" s="584"/>
      <c r="G5" s="584"/>
      <c r="H5" s="584"/>
      <c r="I5" s="584"/>
      <c r="J5" s="584"/>
      <c r="K5" s="584"/>
      <c r="L5" s="584"/>
      <c r="M5" s="584"/>
      <c r="N5" s="584"/>
      <c r="O5" s="585"/>
    </row>
    <row r="6" spans="1:15" ht="55.5" customHeight="1" x14ac:dyDescent="0.25">
      <c r="A6" s="961" t="s">
        <v>967</v>
      </c>
      <c r="B6" s="962"/>
      <c r="C6" s="962"/>
      <c r="D6" s="962"/>
      <c r="E6" s="962"/>
      <c r="F6" s="962"/>
      <c r="G6" s="962"/>
      <c r="H6" s="962"/>
      <c r="I6" s="962"/>
      <c r="J6" s="962"/>
      <c r="K6" s="584"/>
      <c r="L6" s="584"/>
      <c r="M6" s="584"/>
      <c r="N6" s="584"/>
      <c r="O6" s="585"/>
    </row>
    <row r="7" spans="1:15" ht="213.75" customHeight="1" x14ac:dyDescent="0.25">
      <c r="A7" s="969"/>
      <c r="B7" s="970"/>
      <c r="C7" s="971"/>
      <c r="D7" s="965" t="s">
        <v>1076</v>
      </c>
      <c r="E7" s="966"/>
      <c r="F7" s="966"/>
      <c r="G7" s="966"/>
      <c r="H7" s="966"/>
      <c r="I7" s="966"/>
      <c r="J7" s="966"/>
      <c r="K7" s="584"/>
      <c r="L7" s="584"/>
      <c r="M7" s="584"/>
      <c r="N7" s="584"/>
      <c r="O7" s="585"/>
    </row>
    <row r="8" spans="1:15" hidden="1" x14ac:dyDescent="0.25">
      <c r="A8" s="583"/>
      <c r="B8" s="584"/>
      <c r="C8" s="584"/>
      <c r="D8" s="584"/>
      <c r="E8" s="584"/>
      <c r="F8" s="584"/>
      <c r="G8" s="584"/>
      <c r="H8" s="584"/>
      <c r="I8" s="584"/>
      <c r="J8" s="584"/>
      <c r="K8" s="584"/>
      <c r="L8" s="584"/>
      <c r="M8" s="584"/>
      <c r="N8" s="584"/>
      <c r="O8" s="585"/>
    </row>
    <row r="9" spans="1:15" hidden="1" x14ac:dyDescent="0.25">
      <c r="A9" s="583"/>
      <c r="B9" s="584"/>
      <c r="C9" s="584"/>
      <c r="D9" s="963"/>
      <c r="E9" s="964"/>
      <c r="F9" s="964"/>
      <c r="G9" s="964"/>
      <c r="H9" s="964"/>
      <c r="I9" s="964"/>
      <c r="J9" s="584"/>
      <c r="K9" s="584"/>
      <c r="L9" s="584"/>
      <c r="M9" s="584"/>
      <c r="N9" s="584"/>
      <c r="O9" s="585"/>
    </row>
    <row r="10" spans="1:15" ht="30" hidden="1" customHeight="1" x14ac:dyDescent="0.25">
      <c r="A10" s="583"/>
      <c r="B10" s="584"/>
      <c r="C10" s="584"/>
      <c r="D10" s="584"/>
      <c r="E10" s="584"/>
      <c r="F10" s="584"/>
      <c r="G10" s="584"/>
      <c r="H10" s="584"/>
      <c r="I10" s="584"/>
      <c r="J10" s="584"/>
      <c r="K10" s="584"/>
      <c r="L10" s="584"/>
      <c r="M10" s="584"/>
      <c r="N10" s="584"/>
      <c r="O10" s="585"/>
    </row>
    <row r="11" spans="1:15" ht="12.75" hidden="1" customHeight="1" x14ac:dyDescent="0.25">
      <c r="A11" s="967"/>
      <c r="B11" s="968"/>
      <c r="C11" s="968"/>
      <c r="D11" s="968"/>
      <c r="E11" s="968"/>
      <c r="F11" s="968"/>
      <c r="G11" s="968"/>
      <c r="H11" s="968"/>
      <c r="I11" s="968"/>
      <c r="J11" s="968"/>
      <c r="K11" s="584"/>
      <c r="L11" s="584"/>
      <c r="M11" s="584"/>
      <c r="N11" s="584"/>
      <c r="O11" s="585"/>
    </row>
    <row r="12" spans="1:15" ht="5.25" hidden="1" customHeight="1" x14ac:dyDescent="0.25">
      <c r="A12" s="978"/>
      <c r="B12" s="968"/>
      <c r="C12" s="968"/>
      <c r="D12" s="968"/>
      <c r="E12" s="968"/>
      <c r="F12" s="968"/>
      <c r="G12" s="968"/>
      <c r="H12" s="968"/>
      <c r="I12" s="968"/>
      <c r="J12" s="968"/>
      <c r="K12" s="584"/>
      <c r="L12" s="584"/>
      <c r="M12" s="584"/>
      <c r="N12" s="584"/>
      <c r="O12" s="585"/>
    </row>
    <row r="13" spans="1:15" hidden="1" x14ac:dyDescent="0.25">
      <c r="A13" s="967"/>
      <c r="B13" s="968"/>
      <c r="C13" s="968"/>
      <c r="D13" s="968"/>
      <c r="E13" s="968"/>
      <c r="F13" s="968"/>
      <c r="G13" s="968"/>
      <c r="H13" s="968"/>
      <c r="I13" s="968"/>
      <c r="J13" s="968"/>
      <c r="K13" s="584"/>
      <c r="L13" s="584"/>
      <c r="M13" s="584"/>
      <c r="N13" s="584"/>
      <c r="O13" s="585"/>
    </row>
    <row r="14" spans="1:15" ht="6" hidden="1" customHeight="1" x14ac:dyDescent="0.25">
      <c r="A14" s="583"/>
      <c r="B14" s="584"/>
      <c r="C14" s="584"/>
      <c r="D14" s="584"/>
      <c r="E14" s="584"/>
      <c r="F14" s="584"/>
      <c r="G14" s="584"/>
      <c r="H14" s="584"/>
      <c r="I14" s="584"/>
      <c r="J14" s="584"/>
      <c r="K14" s="584"/>
      <c r="L14" s="584"/>
      <c r="M14" s="584"/>
      <c r="N14" s="584"/>
      <c r="O14" s="585"/>
    </row>
    <row r="15" spans="1:15" ht="4.5" hidden="1" customHeight="1" x14ac:dyDescent="0.25">
      <c r="A15" s="587"/>
      <c r="B15" s="588"/>
      <c r="C15" s="588"/>
      <c r="D15" s="588"/>
      <c r="E15" s="588"/>
      <c r="F15" s="588"/>
      <c r="G15" s="588"/>
      <c r="H15" s="588"/>
      <c r="I15" s="588"/>
      <c r="J15" s="588"/>
      <c r="K15" s="588"/>
      <c r="L15" s="588"/>
      <c r="M15" s="588"/>
      <c r="N15" s="588"/>
      <c r="O15" s="589"/>
    </row>
    <row r="16" spans="1:15" ht="23.25" customHeight="1" x14ac:dyDescent="0.25">
      <c r="A16" s="979" t="s">
        <v>962</v>
      </c>
      <c r="B16" s="980"/>
      <c r="C16" s="980"/>
      <c r="D16" s="980"/>
      <c r="E16" s="980"/>
      <c r="F16" s="980"/>
      <c r="G16" s="980"/>
      <c r="H16" s="980"/>
      <c r="I16" s="980"/>
      <c r="J16" s="980"/>
      <c r="K16" s="980"/>
      <c r="L16" s="980"/>
      <c r="M16" s="981"/>
      <c r="N16" s="590"/>
    </row>
    <row r="17" spans="1:14" ht="20.25" customHeight="1" x14ac:dyDescent="0.25">
      <c r="A17" s="987" t="s">
        <v>797</v>
      </c>
      <c r="B17" s="988"/>
      <c r="C17" s="988"/>
      <c r="D17" s="988"/>
      <c r="E17" s="988"/>
      <c r="F17" s="988"/>
      <c r="G17" s="989"/>
      <c r="H17" s="590"/>
      <c r="I17" s="590"/>
      <c r="J17" s="590"/>
      <c r="K17" s="590"/>
      <c r="L17" s="590"/>
      <c r="M17" s="590"/>
      <c r="N17" s="590"/>
    </row>
    <row r="18" spans="1:14" ht="168.75" customHeight="1" x14ac:dyDescent="0.25">
      <c r="A18" s="982" t="s">
        <v>1073</v>
      </c>
      <c r="B18" s="983"/>
      <c r="C18" s="983"/>
      <c r="D18" s="983"/>
      <c r="E18" s="983"/>
      <c r="F18" s="983"/>
      <c r="G18" s="983"/>
      <c r="H18" s="983"/>
      <c r="I18" s="983"/>
      <c r="J18" s="983"/>
      <c r="K18" s="984"/>
      <c r="L18" s="590"/>
      <c r="M18" s="590"/>
      <c r="N18" s="590"/>
    </row>
    <row r="19" spans="1:14" ht="6.75" customHeight="1" x14ac:dyDescent="0.25">
      <c r="A19" s="591"/>
      <c r="B19" s="590"/>
      <c r="C19" s="590"/>
      <c r="F19" s="590"/>
      <c r="G19" s="590"/>
      <c r="H19" s="590"/>
      <c r="I19" s="590"/>
      <c r="J19" s="590"/>
      <c r="K19" s="590"/>
      <c r="L19" s="590"/>
      <c r="M19" s="590"/>
      <c r="N19" s="590"/>
    </row>
    <row r="20" spans="1:14" ht="6" customHeight="1" x14ac:dyDescent="0.25">
      <c r="B20" s="590"/>
      <c r="C20" s="590"/>
      <c r="D20" s="590"/>
      <c r="F20" s="590"/>
      <c r="G20" s="590"/>
      <c r="H20" s="590"/>
      <c r="I20" s="590"/>
      <c r="J20" s="590"/>
      <c r="K20" s="590"/>
      <c r="L20" s="590"/>
      <c r="M20" s="590"/>
      <c r="N20" s="590"/>
    </row>
    <row r="21" spans="1:14" ht="15.75" x14ac:dyDescent="0.25">
      <c r="B21" s="590"/>
      <c r="C21" s="590"/>
      <c r="D21" s="592" t="s">
        <v>798</v>
      </c>
      <c r="E21" s="593" t="s">
        <v>800</v>
      </c>
      <c r="F21" s="594"/>
      <c r="G21" s="594"/>
      <c r="I21" s="590"/>
      <c r="J21" s="590"/>
      <c r="K21" s="590"/>
      <c r="L21" s="590"/>
      <c r="M21" s="590"/>
      <c r="N21" s="590"/>
    </row>
    <row r="22" spans="1:14" ht="13.5" customHeight="1" x14ac:dyDescent="0.25">
      <c r="D22" s="592" t="s">
        <v>799</v>
      </c>
      <c r="E22" s="595" t="s">
        <v>56</v>
      </c>
      <c r="F22" s="596"/>
      <c r="G22" s="596"/>
    </row>
    <row r="23" spans="1:14" ht="1.5" customHeight="1" x14ac:dyDescent="0.25"/>
    <row r="24" spans="1:14" ht="11.25" customHeight="1" x14ac:dyDescent="0.25"/>
    <row r="25" spans="1:14" ht="3.75" hidden="1" customHeight="1" x14ac:dyDescent="0.25"/>
    <row r="26" spans="1:14" ht="3.75" hidden="1" customHeight="1" x14ac:dyDescent="0.25"/>
    <row r="27" spans="1:14" ht="3" hidden="1" customHeight="1" x14ac:dyDescent="0.25"/>
    <row r="28" spans="1:14" ht="27.75" customHeight="1" x14ac:dyDescent="0.25">
      <c r="A28" s="597" t="s">
        <v>796</v>
      </c>
      <c r="B28" s="598"/>
      <c r="C28" s="598"/>
      <c r="D28" s="985" t="s">
        <v>794</v>
      </c>
      <c r="E28" s="986"/>
      <c r="F28" s="598"/>
    </row>
    <row r="29" spans="1:14" ht="9" customHeight="1" x14ac:dyDescent="0.25">
      <c r="A29" s="599"/>
      <c r="B29" s="598"/>
      <c r="C29" s="598"/>
      <c r="D29" s="976" t="s">
        <v>795</v>
      </c>
      <c r="E29" s="977"/>
      <c r="F29" s="598"/>
    </row>
    <row r="30" spans="1:14" x14ac:dyDescent="0.25">
      <c r="A30" s="599"/>
      <c r="B30" s="598"/>
      <c r="C30" s="598"/>
      <c r="D30" s="598" t="s">
        <v>801</v>
      </c>
      <c r="E30" s="598"/>
      <c r="F30" s="598"/>
    </row>
    <row r="31" spans="1:14" ht="6" customHeight="1" x14ac:dyDescent="0.25">
      <c r="A31" s="599"/>
      <c r="B31" s="598"/>
      <c r="C31" s="598"/>
      <c r="D31" s="598"/>
      <c r="E31" s="598"/>
      <c r="F31" s="598"/>
    </row>
    <row r="32" spans="1:14" ht="36" customHeight="1" x14ac:dyDescent="0.25">
      <c r="A32" s="972" t="s">
        <v>966</v>
      </c>
      <c r="B32" s="973"/>
      <c r="C32" s="973"/>
      <c r="D32" s="973"/>
      <c r="E32" s="974" t="s">
        <v>965</v>
      </c>
      <c r="F32" s="974"/>
      <c r="G32" s="975"/>
    </row>
    <row r="33" spans="1:7" x14ac:dyDescent="0.25">
      <c r="A33" s="600" t="s">
        <v>1136</v>
      </c>
      <c r="B33" s="601"/>
      <c r="C33" s="601"/>
      <c r="D33" s="602"/>
      <c r="E33" s="602"/>
      <c r="F33" s="602"/>
      <c r="G33" s="603"/>
    </row>
    <row r="34" spans="1:7" x14ac:dyDescent="0.25">
      <c r="A34" s="604"/>
      <c r="B34" s="605"/>
      <c r="C34" s="605"/>
      <c r="D34" s="605"/>
      <c r="E34" s="605"/>
      <c r="F34" s="605"/>
    </row>
  </sheetData>
  <sheetProtection algorithmName="SHA-512" hashValue="EpgTWWsY+/hecEPYZqiUScHLNlTzbiw3dKcttcbvI+D72s0zyZLoUKpjNYr7Sj/ihuF/n7oLnrgiZYyUjcn84A==" saltValue="rt+UDpDpreYMzEuZX545XQ==" spinCount="100000" sheet="1" objects="1" scenarios="1"/>
  <mergeCells count="15">
    <mergeCell ref="A32:D32"/>
    <mergeCell ref="E32:G32"/>
    <mergeCell ref="D29:E29"/>
    <mergeCell ref="A13:J13"/>
    <mergeCell ref="A12:J12"/>
    <mergeCell ref="A16:M16"/>
    <mergeCell ref="A18:K18"/>
    <mergeCell ref="D28:E28"/>
    <mergeCell ref="A17:G17"/>
    <mergeCell ref="A2:H2"/>
    <mergeCell ref="A6:J6"/>
    <mergeCell ref="D9:I9"/>
    <mergeCell ref="D7:J7"/>
    <mergeCell ref="A11:J11"/>
    <mergeCell ref="A7:C7"/>
  </mergeCells>
  <hyperlinks>
    <hyperlink ref="E22" r:id="rId1" xr:uid="{00000000-0004-0000-0000-000000000000}"/>
    <hyperlink ref="E32" r:id="rId2" xr:uid="{00000000-0004-0000-0000-000001000000}"/>
    <hyperlink ref="E32:G32" r:id="rId3" display="data protection information" xr:uid="{21BE38BD-DA53-4FBA-9C26-214FC086CDF9}"/>
  </hyperlinks>
  <pageMargins left="0.34" right="0.19685039370078741" top="0.31496062992125984" bottom="0.27559055118110237" header="0.23622047244094491" footer="0.31496062992125984"/>
  <pageSetup paperSize="9" scale="90" orientation="landscape"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BE1F2-AFD3-4CD2-8637-A9BD86C3B43A}">
  <sheetPr>
    <tabColor theme="0" tint="-0.249977111117893"/>
    <outlinePr showOutlineSymbols="0"/>
  </sheetPr>
  <dimension ref="A1:T41"/>
  <sheetViews>
    <sheetView showGridLines="0" showRowColHeaders="0" showZeros="0" showOutlineSymbols="0" zoomScaleNormal="100" workbookViewId="0">
      <selection activeCell="B2" sqref="B2:E2"/>
    </sheetView>
  </sheetViews>
  <sheetFormatPr baseColWidth="10" defaultRowHeight="15" x14ac:dyDescent="0.25"/>
  <cols>
    <col min="1" max="1" width="2.28515625" style="652" customWidth="1"/>
    <col min="2" max="2" width="27" style="837" customWidth="1"/>
    <col min="3" max="3" width="37.5703125" style="837" customWidth="1"/>
    <col min="4" max="4" width="35.5703125" style="837" customWidth="1"/>
    <col min="5" max="5" width="9.85546875" style="837" customWidth="1"/>
    <col min="6" max="6" width="19.7109375" style="380" customWidth="1"/>
    <col min="7" max="7" width="16.140625" style="380" customWidth="1"/>
    <col min="8" max="8" width="11.28515625" style="380" customWidth="1"/>
    <col min="9" max="9" width="32.28515625" style="838" customWidth="1"/>
    <col min="10" max="10" width="10.140625" style="378" customWidth="1"/>
    <col min="11" max="11" width="14.5703125" style="378" customWidth="1"/>
    <col min="12" max="12" width="17" style="378" customWidth="1"/>
    <col min="13" max="13" width="21.85546875" style="378" customWidth="1"/>
    <col min="14" max="14" width="3.28515625" style="378" customWidth="1"/>
    <col min="15" max="15" width="3.42578125" style="378" customWidth="1"/>
    <col min="16" max="16" width="10.28515625" style="378" customWidth="1"/>
    <col min="17" max="20" width="11.42578125" style="378" customWidth="1"/>
    <col min="21" max="16384" width="11.42578125" style="380"/>
  </cols>
  <sheetData>
    <row r="1" spans="1:20" s="834" customFormat="1" ht="72.75" customHeight="1" x14ac:dyDescent="0.25">
      <c r="A1" s="830"/>
      <c r="B1" s="831"/>
      <c r="C1" s="831"/>
      <c r="D1" s="831"/>
      <c r="E1" s="831"/>
      <c r="F1" s="832"/>
      <c r="G1" s="832"/>
      <c r="H1" s="832"/>
      <c r="I1" s="833"/>
      <c r="J1" s="383"/>
      <c r="K1" s="383"/>
      <c r="L1" s="383"/>
      <c r="M1" s="383"/>
      <c r="N1" s="383"/>
      <c r="O1" s="383"/>
      <c r="P1" s="383"/>
      <c r="Q1" s="383"/>
      <c r="R1" s="383"/>
      <c r="S1" s="383"/>
      <c r="T1" s="383"/>
    </row>
    <row r="2" spans="1:20" ht="65.25" customHeight="1" x14ac:dyDescent="0.25">
      <c r="A2" s="835"/>
      <c r="B2" s="1055" t="s">
        <v>1122</v>
      </c>
      <c r="C2" s="1056"/>
      <c r="D2" s="1056"/>
      <c r="E2" s="1056"/>
      <c r="F2" s="1041" t="s">
        <v>1121</v>
      </c>
      <c r="G2" s="1041"/>
      <c r="H2" s="1041"/>
      <c r="I2" s="1041"/>
      <c r="J2" s="1041"/>
      <c r="K2" s="1057"/>
      <c r="L2" s="1058"/>
      <c r="M2" s="1059"/>
    </row>
    <row r="3" spans="1:20" ht="2.4500000000000002" customHeight="1" x14ac:dyDescent="0.25">
      <c r="B3" s="836"/>
    </row>
    <row r="7" spans="1:20" x14ac:dyDescent="0.25">
      <c r="B7" s="886" t="s">
        <v>1123</v>
      </c>
    </row>
    <row r="8" spans="1:20" x14ac:dyDescent="0.25">
      <c r="B8" s="380"/>
    </row>
    <row r="9" spans="1:20" ht="57" customHeight="1" x14ac:dyDescent="0.25">
      <c r="A9" s="380"/>
    </row>
    <row r="10" spans="1:20" ht="96.75" customHeight="1" x14ac:dyDescent="0.25">
      <c r="A10" s="380"/>
      <c r="B10" s="879"/>
      <c r="C10" s="1036"/>
      <c r="D10" s="1036"/>
      <c r="E10" s="1036"/>
      <c r="F10" s="1036"/>
      <c r="G10" s="1036"/>
      <c r="H10" s="1036"/>
      <c r="I10" s="1036"/>
      <c r="J10" s="1036"/>
      <c r="K10" s="836"/>
      <c r="L10" s="836"/>
    </row>
    <row r="11" spans="1:20" x14ac:dyDescent="0.25">
      <c r="A11" s="380"/>
      <c r="B11" s="879"/>
    </row>
    <row r="12" spans="1:20" ht="48" customHeight="1" x14ac:dyDescent="0.25">
      <c r="A12" s="380"/>
      <c r="B12" s="879"/>
      <c r="C12" s="1036"/>
      <c r="D12" s="1036"/>
      <c r="E12" s="1036"/>
      <c r="F12" s="1036"/>
      <c r="G12" s="1036"/>
      <c r="H12" s="1036"/>
      <c r="I12" s="1036"/>
      <c r="J12" s="1036"/>
    </row>
    <row r="13" spans="1:20" x14ac:dyDescent="0.25">
      <c r="A13" s="380"/>
      <c r="B13" s="879"/>
    </row>
    <row r="14" spans="1:20" x14ac:dyDescent="0.25">
      <c r="A14" s="380"/>
      <c r="B14" s="879"/>
      <c r="C14" s="1036"/>
      <c r="D14" s="1037"/>
      <c r="E14" s="1037"/>
      <c r="F14" s="1037"/>
      <c r="G14" s="1037"/>
      <c r="H14" s="1037"/>
      <c r="I14" s="1037"/>
      <c r="J14" s="1037"/>
    </row>
    <row r="15" spans="1:20" s="880" customFormat="1" x14ac:dyDescent="0.25">
      <c r="B15" s="879"/>
      <c r="E15" s="881"/>
      <c r="I15" s="882"/>
      <c r="J15" s="883"/>
      <c r="K15" s="883"/>
      <c r="L15" s="883"/>
      <c r="M15" s="883"/>
      <c r="N15" s="883"/>
      <c r="O15" s="883"/>
      <c r="P15" s="883"/>
      <c r="Q15" s="883"/>
      <c r="R15" s="883"/>
      <c r="S15" s="883"/>
      <c r="T15" s="883"/>
    </row>
    <row r="16" spans="1:20" s="880" customFormat="1" x14ac:dyDescent="0.25">
      <c r="B16" s="879"/>
      <c r="E16" s="881"/>
      <c r="I16" s="882"/>
      <c r="J16" s="883"/>
      <c r="K16" s="883"/>
      <c r="L16" s="883"/>
      <c r="M16" s="883"/>
      <c r="N16" s="883"/>
      <c r="O16" s="883"/>
      <c r="P16" s="883"/>
      <c r="Q16" s="883"/>
      <c r="R16" s="883"/>
      <c r="S16" s="883"/>
      <c r="T16" s="883"/>
    </row>
    <row r="17" spans="1:20" x14ac:dyDescent="0.25">
      <c r="A17" s="380"/>
      <c r="B17" s="380"/>
    </row>
    <row r="18" spans="1:20" x14ac:dyDescent="0.25">
      <c r="A18" s="380"/>
      <c r="B18" s="380"/>
    </row>
    <row r="19" spans="1:20" x14ac:dyDescent="0.25">
      <c r="A19" s="380"/>
      <c r="B19" s="380"/>
    </row>
    <row r="20" spans="1:20" x14ac:dyDescent="0.25">
      <c r="A20" s="380"/>
      <c r="B20" s="380"/>
    </row>
    <row r="21" spans="1:20" x14ac:dyDescent="0.25">
      <c r="A21" s="380"/>
      <c r="B21" s="380"/>
    </row>
    <row r="30" spans="1:20" s="838" customFormat="1" x14ac:dyDescent="0.25">
      <c r="A30" s="380"/>
      <c r="B30" s="837"/>
      <c r="C30" s="837"/>
      <c r="D30" s="837"/>
      <c r="E30" s="837"/>
      <c r="F30" s="380"/>
      <c r="G30" s="380"/>
      <c r="H30" s="380"/>
      <c r="J30" s="378"/>
      <c r="K30" s="378"/>
      <c r="L30" s="378"/>
      <c r="M30" s="378"/>
      <c r="N30" s="378"/>
      <c r="O30" s="378"/>
      <c r="P30" s="378"/>
      <c r="Q30" s="378"/>
      <c r="R30" s="378"/>
      <c r="S30" s="378"/>
      <c r="T30" s="378"/>
    </row>
    <row r="37" spans="1:20" s="838" customFormat="1" x14ac:dyDescent="0.25">
      <c r="A37" s="380"/>
      <c r="B37" s="836"/>
      <c r="C37" s="836"/>
      <c r="D37" s="837"/>
      <c r="E37" s="837"/>
      <c r="F37" s="380"/>
      <c r="J37" s="378"/>
      <c r="K37" s="378"/>
      <c r="L37" s="378"/>
      <c r="M37" s="378"/>
      <c r="N37" s="378"/>
      <c r="O37" s="378"/>
      <c r="P37" s="378"/>
      <c r="Q37" s="378"/>
      <c r="R37" s="378"/>
      <c r="S37" s="378"/>
      <c r="T37" s="378"/>
    </row>
    <row r="38" spans="1:20" s="838" customFormat="1" x14ac:dyDescent="0.25">
      <c r="A38" s="380"/>
      <c r="B38" s="836"/>
      <c r="D38" s="837"/>
      <c r="E38" s="837"/>
      <c r="F38" s="380"/>
      <c r="G38" s="380"/>
      <c r="H38" s="380"/>
      <c r="J38" s="378"/>
      <c r="K38" s="378"/>
      <c r="L38" s="378"/>
      <c r="M38" s="378"/>
      <c r="N38" s="378"/>
      <c r="O38" s="378"/>
      <c r="P38" s="378"/>
      <c r="Q38" s="378"/>
      <c r="R38" s="378"/>
      <c r="S38" s="378"/>
      <c r="T38" s="378"/>
    </row>
    <row r="40" spans="1:20" s="838" customFormat="1" x14ac:dyDescent="0.25">
      <c r="A40" s="380"/>
      <c r="B40" s="884"/>
      <c r="C40" s="837"/>
      <c r="D40" s="837"/>
      <c r="E40" s="837"/>
      <c r="F40" s="380"/>
      <c r="G40" s="380"/>
      <c r="H40" s="380"/>
      <c r="J40" s="378"/>
      <c r="K40" s="378"/>
      <c r="L40" s="378"/>
      <c r="M40" s="378"/>
      <c r="N40" s="378"/>
      <c r="O40" s="378"/>
      <c r="P40" s="378"/>
      <c r="Q40" s="378"/>
      <c r="R40" s="378"/>
      <c r="S40" s="378"/>
      <c r="T40" s="378"/>
    </row>
    <row r="41" spans="1:20" x14ac:dyDescent="0.25">
      <c r="A41" s="380"/>
      <c r="B41" s="836"/>
      <c r="C41" s="836"/>
      <c r="E41" s="836"/>
    </row>
  </sheetData>
  <sheetProtection algorithmName="SHA-512" hashValue="IKvRTFDT3rmtLOFV2HylDa805/G4OXMLWqTGdHPa0OF4rAzEuIU2ZMGkn3ZhPQ1Cu6jEgVSu8tVk7I+nBt8/aQ==" saltValue="vrEKDBVlM63GmZJae/0VZQ==" spinCount="100000" sheet="1" objects="1" scenarios="1"/>
  <mergeCells count="6">
    <mergeCell ref="C14:J14"/>
    <mergeCell ref="B2:E2"/>
    <mergeCell ref="F2:J2"/>
    <mergeCell ref="K2:M2"/>
    <mergeCell ref="C10:J10"/>
    <mergeCell ref="C12:J12"/>
  </mergeCells>
  <conditionalFormatting sqref="A2">
    <cfRule type="expression" dxfId="102" priority="3">
      <formula>$C$2="Tabellenblatt GESPERRT /  Voraussetzung für Öffnung-&gt; weitere Standorte mit Datenzugriff= JA"</formula>
    </cfRule>
  </conditionalFormatting>
  <conditionalFormatting sqref="B2">
    <cfRule type="expression" dxfId="101" priority="2">
      <formula>$E$2="OK, nächster Schritt"</formula>
    </cfRule>
  </conditionalFormatting>
  <conditionalFormatting sqref="F2">
    <cfRule type="expression" dxfId="100" priority="1">
      <formula>$C$2="Tabellenblatt GESPERRT /  Voraussetzung für Öffnung-&gt; weitere Standorte mit Datenzugriff= JA"</formula>
    </cfRule>
  </conditionalFormatting>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autoPageBreaks="0"/>
  </sheetPr>
  <dimension ref="A1:L342"/>
  <sheetViews>
    <sheetView showGridLines="0" showRowColHeaders="0" showZeros="0" zoomScale="85" zoomScaleNormal="85" workbookViewId="0">
      <selection activeCell="B1" sqref="B1"/>
    </sheetView>
  </sheetViews>
  <sheetFormatPr baseColWidth="10" defaultColWidth="11.42578125" defaultRowHeight="18" x14ac:dyDescent="0.25"/>
  <cols>
    <col min="1" max="1" width="5" style="30" customWidth="1"/>
    <col min="2" max="2" width="65" style="35" customWidth="1"/>
    <col min="3" max="3" width="71.85546875" style="34" customWidth="1"/>
    <col min="4" max="4" width="45.7109375" style="54" customWidth="1"/>
    <col min="5" max="5" width="37.28515625" style="489" customWidth="1"/>
    <col min="6" max="6" width="24.7109375" style="489" customWidth="1"/>
    <col min="7" max="7" width="33.140625" style="489" customWidth="1"/>
    <col min="8" max="8" width="28.7109375" style="489" customWidth="1"/>
    <col min="9" max="9" width="11.42578125" style="489"/>
    <col min="10" max="16384" width="11.42578125" style="35"/>
  </cols>
  <sheetData>
    <row r="1" spans="1:9" ht="35.25" customHeight="1" x14ac:dyDescent="0.25">
      <c r="A1" s="324"/>
      <c r="B1" s="563" t="s">
        <v>910</v>
      </c>
      <c r="C1" s="325"/>
      <c r="D1" s="1065" t="s">
        <v>1045</v>
      </c>
    </row>
    <row r="2" spans="1:9" s="39" customFormat="1" ht="116.25" customHeight="1" x14ac:dyDescent="0.2">
      <c r="A2" s="697"/>
      <c r="B2" s="698"/>
      <c r="C2" s="699" t="s">
        <v>969</v>
      </c>
      <c r="D2" s="1065"/>
      <c r="E2" s="490"/>
      <c r="F2" s="490"/>
      <c r="G2" s="490"/>
      <c r="H2" s="490"/>
      <c r="I2" s="490"/>
    </row>
    <row r="3" spans="1:9" s="39" customFormat="1" ht="27.75" customHeight="1" x14ac:dyDescent="0.2">
      <c r="A3" s="697"/>
      <c r="B3" s="783"/>
      <c r="C3" s="784"/>
      <c r="D3" s="776"/>
      <c r="E3" s="490"/>
      <c r="F3" s="490"/>
      <c r="G3" s="490"/>
      <c r="H3" s="490"/>
      <c r="I3" s="490"/>
    </row>
    <row r="4" spans="1:9" s="49" customFormat="1" ht="24" customHeight="1" x14ac:dyDescent="0.25">
      <c r="A4" s="55">
        <v>1</v>
      </c>
      <c r="B4" s="56" t="s">
        <v>875</v>
      </c>
      <c r="C4" s="58" t="s">
        <v>989</v>
      </c>
      <c r="D4" s="700"/>
      <c r="E4" s="491"/>
      <c r="F4" s="491"/>
      <c r="G4" s="491"/>
      <c r="H4" s="491">
        <f>IF(SUM(H6:H67)&gt;0,1,0)</f>
        <v>1</v>
      </c>
      <c r="I4" s="491"/>
    </row>
    <row r="5" spans="1:9" s="49" customFormat="1" ht="15" customHeight="1" x14ac:dyDescent="0.25">
      <c r="A5" s="47"/>
      <c r="B5" s="745" t="s">
        <v>1125</v>
      </c>
      <c r="C5" s="467" t="str">
        <f>IF('company data'!F7="","not filled in",'company data'!F7)</f>
        <v>not filled in</v>
      </c>
      <c r="D5" s="804" t="str">
        <f>IF(C5="not filled in","entry desired","")</f>
        <v>entry desired</v>
      </c>
      <c r="E5" s="491"/>
      <c r="F5" s="491"/>
      <c r="G5" s="491"/>
      <c r="H5" s="491"/>
      <c r="I5" s="491"/>
    </row>
    <row r="6" spans="1:9" s="49" customFormat="1" ht="15" customHeight="1" x14ac:dyDescent="0.25">
      <c r="A6" s="47"/>
      <c r="B6" s="745" t="s">
        <v>1124</v>
      </c>
      <c r="C6" s="467" t="str">
        <f>IF('company data'!B10="","not filled in",'company data'!B10)</f>
        <v>not filled in</v>
      </c>
      <c r="D6" s="667" t="str">
        <f t="shared" ref="D6:D12" si="0">IF(C6="not filled in","entry mandatory","")</f>
        <v>entry mandatory</v>
      </c>
      <c r="E6" s="491"/>
      <c r="F6" s="491"/>
      <c r="G6" s="491"/>
      <c r="H6" s="491">
        <f>IF(ISERROR(VLOOKUP(D6,Stammdaten!$G$2:$H$38,2,FALSE)),0,VLOOKUP(D6,Stammdaten!$G$2:$H$38,2,FALSE))</f>
        <v>1</v>
      </c>
      <c r="I6" s="491"/>
    </row>
    <row r="7" spans="1:9" s="49" customFormat="1" ht="15" customHeight="1" x14ac:dyDescent="0.25">
      <c r="A7" s="47"/>
      <c r="B7" s="745" t="s">
        <v>1128</v>
      </c>
      <c r="C7" s="468" t="str">
        <f>IF('company data'!B13="","not filled in",'company data'!B13)</f>
        <v>not filled in</v>
      </c>
      <c r="D7" s="667" t="str">
        <f t="shared" si="0"/>
        <v>entry mandatory</v>
      </c>
      <c r="E7" s="491"/>
      <c r="F7" s="491"/>
      <c r="G7" s="491"/>
      <c r="H7" s="491">
        <f>IF(ISERROR(VLOOKUP(D7,Stammdaten!$G$2:$H$38,2,FALSE)),0,VLOOKUP(D7,Stammdaten!$G$2:$H$38,2,FALSE))</f>
        <v>1</v>
      </c>
      <c r="I7" s="491"/>
    </row>
    <row r="8" spans="1:9" s="49" customFormat="1" ht="15.75" customHeight="1" x14ac:dyDescent="0.25">
      <c r="A8" s="47"/>
      <c r="B8" s="471" t="s">
        <v>803</v>
      </c>
      <c r="C8" s="468" t="str">
        <f>IF('company data'!B16="","not filled in",'company data'!B16)</f>
        <v>not filled in</v>
      </c>
      <c r="D8" s="667" t="str">
        <f t="shared" si="0"/>
        <v>entry mandatory</v>
      </c>
      <c r="E8" s="491"/>
      <c r="F8" s="491"/>
      <c r="G8" s="491"/>
      <c r="H8" s="491">
        <f>IF(ISERROR(VLOOKUP(D8,Stammdaten!$G$2:$H$38,2,FALSE)),0,VLOOKUP(D8,Stammdaten!$G$2:$H$38,2,FALSE))</f>
        <v>1</v>
      </c>
      <c r="I8" s="491"/>
    </row>
    <row r="9" spans="1:9" s="49" customFormat="1" ht="15.75" customHeight="1" x14ac:dyDescent="0.25">
      <c r="A9" s="47"/>
      <c r="B9" s="471" t="s">
        <v>804</v>
      </c>
      <c r="C9" s="467" t="str">
        <f>IF('company data'!B17="","not filled in",'company data'!B17)</f>
        <v>not filled in</v>
      </c>
      <c r="D9" s="667" t="str">
        <f t="shared" si="0"/>
        <v>entry mandatory</v>
      </c>
      <c r="E9" s="491"/>
      <c r="F9" s="491"/>
      <c r="G9" s="491"/>
      <c r="H9" s="491">
        <f>IF(ISERROR(VLOOKUP(D9,Stammdaten!$G$2:$H$38,2,FALSE)),0,VLOOKUP(D9,Stammdaten!$G$2:$H$38,2,FALSE))</f>
        <v>1</v>
      </c>
      <c r="I9" s="491"/>
    </row>
    <row r="10" spans="1:9" s="49" customFormat="1" ht="15.75" customHeight="1" x14ac:dyDescent="0.25">
      <c r="A10" s="47"/>
      <c r="B10" s="471" t="s">
        <v>805</v>
      </c>
      <c r="C10" s="467" t="str">
        <f>IF('company data'!B18="","not filled in",'company data'!B18)</f>
        <v>not filled in</v>
      </c>
      <c r="D10" s="667" t="str">
        <f t="shared" si="0"/>
        <v>entry mandatory</v>
      </c>
      <c r="E10" s="491"/>
      <c r="F10" s="491"/>
      <c r="G10" s="491"/>
      <c r="H10" s="491">
        <f>IF(ISERROR(VLOOKUP(D10,Stammdaten!$G$2:$H$38,2,FALSE)),0,VLOOKUP(D10,Stammdaten!$G$2:$H$38,2,FALSE))</f>
        <v>1</v>
      </c>
      <c r="I10" s="491"/>
    </row>
    <row r="11" spans="1:9" s="49" customFormat="1" ht="15.75" customHeight="1" x14ac:dyDescent="0.25">
      <c r="A11" s="47"/>
      <c r="B11" s="471" t="s">
        <v>806</v>
      </c>
      <c r="C11" s="467" t="str">
        <f>IF('company data'!B19="","not filled in",'company data'!B19)</f>
        <v>not filled in</v>
      </c>
      <c r="D11" s="667" t="str">
        <f t="shared" si="0"/>
        <v>entry mandatory</v>
      </c>
      <c r="E11" s="491"/>
      <c r="F11" s="491"/>
      <c r="G11" s="491"/>
      <c r="H11" s="491">
        <f>IF(ISERROR(VLOOKUP(D11,Stammdaten!$G$2:$H$38,2,FALSE)),0,VLOOKUP(D11,Stammdaten!$G$2:$H$38,2,FALSE))</f>
        <v>1</v>
      </c>
      <c r="I11" s="491"/>
    </row>
    <row r="12" spans="1:9" s="49" customFormat="1" ht="15.75" customHeight="1" x14ac:dyDescent="0.25">
      <c r="A12" s="47"/>
      <c r="B12" s="471" t="s">
        <v>807</v>
      </c>
      <c r="C12" s="467" t="str">
        <f>IF('company data'!B20="","not filled in",'company data'!B20)</f>
        <v>not filled in</v>
      </c>
      <c r="D12" s="667" t="str">
        <f t="shared" si="0"/>
        <v>entry mandatory</v>
      </c>
      <c r="E12"/>
      <c r="F12" s="491"/>
      <c r="G12" s="491"/>
      <c r="H12" s="491">
        <f>IF(ISERROR(VLOOKUP(D12,Stammdaten!$G$2:$H$38,2,FALSE)),0,VLOOKUP(D12,Stammdaten!$G$2:$H$38,2,FALSE))</f>
        <v>1</v>
      </c>
      <c r="I12" s="491"/>
    </row>
    <row r="13" spans="1:9" s="49" customFormat="1" ht="15.75" customHeight="1" x14ac:dyDescent="0.25">
      <c r="A13" s="47"/>
      <c r="B13" s="752" t="s">
        <v>808</v>
      </c>
      <c r="C13" s="766" t="str">
        <f>IF('company data'!B21="","not filled in",'company data'!B21)</f>
        <v>not filled in</v>
      </c>
      <c r="D13" s="753" t="str">
        <f>IF(C13="not filled in","entry mandatory",IF(z_duns_vertrag&gt;999999999,"incorrect DUNS, wrong number of digits",""))</f>
        <v>entry mandatory</v>
      </c>
      <c r="E13" s="491"/>
      <c r="F13" s="491"/>
      <c r="G13" s="491"/>
      <c r="H13" s="491">
        <f>IF(ISERROR(VLOOKUP(D13,Stammdaten!$G$2:$H$38,2,FALSE)),0,VLOOKUP(D13,Stammdaten!$G$2:$H$38,2,FALSE))</f>
        <v>1</v>
      </c>
      <c r="I13" s="491"/>
    </row>
    <row r="14" spans="1:9" s="49" customFormat="1" ht="15.75" customHeight="1" x14ac:dyDescent="0.25">
      <c r="A14" s="47"/>
      <c r="B14" s="471" t="s">
        <v>876</v>
      </c>
      <c r="C14" s="467" t="str">
        <f>IF('company data'!B22="","not filled in",'company data'!B22)</f>
        <v>not filled in</v>
      </c>
      <c r="D14" s="667"/>
      <c r="E14" s="491"/>
      <c r="F14" s="491"/>
      <c r="G14" s="491"/>
      <c r="H14" s="491">
        <f>IF(ISERROR(VLOOKUP(D14,Stammdaten!$G$2:$H$38,2,FALSE)),0,VLOOKUP(D14,Stammdaten!$G$2:$H$38,2,FALSE))</f>
        <v>0</v>
      </c>
      <c r="I14" s="491"/>
    </row>
    <row r="15" spans="1:9" s="49" customFormat="1" ht="15.75" customHeight="1" x14ac:dyDescent="0.25">
      <c r="A15" s="47"/>
      <c r="B15" s="471" t="s">
        <v>876</v>
      </c>
      <c r="C15" s="467" t="str">
        <f>IF('company data'!B23="","not filled in",'company data'!B23)</f>
        <v>not filled in</v>
      </c>
      <c r="D15" s="667"/>
      <c r="E15" s="491"/>
      <c r="F15" s="491"/>
      <c r="G15" s="491"/>
      <c r="H15" s="491">
        <f>IF(ISERROR(VLOOKUP(D15,Stammdaten!$G$2:$H$38,2,FALSE)),0,VLOOKUP(D15,Stammdaten!$G$2:$H$38,2,FALSE))</f>
        <v>0</v>
      </c>
      <c r="I15" s="491"/>
    </row>
    <row r="16" spans="1:9" s="49" customFormat="1" ht="15.75" customHeight="1" x14ac:dyDescent="0.25">
      <c r="A16" s="47"/>
      <c r="B16" s="471" t="s">
        <v>810</v>
      </c>
      <c r="C16" s="467" t="str">
        <f>IF('company data'!B24="","not filled in",'company data'!B24)</f>
        <v>not filled in</v>
      </c>
      <c r="D16" s="667" t="str">
        <f>IF(C16="not filled in",IF('company data'!F24=1,"entry mandatory",""),"")</f>
        <v/>
      </c>
      <c r="E16" s="491"/>
      <c r="F16" s="491"/>
      <c r="G16" s="491"/>
      <c r="H16" s="491">
        <f>IF(ISERROR(VLOOKUP(D16,Stammdaten!$G$2:$H$38,2,FALSE)),0,VLOOKUP(D16,Stammdaten!$G$2:$H$38,2,FALSE))</f>
        <v>0</v>
      </c>
      <c r="I16" s="491"/>
    </row>
    <row r="17" spans="1:12" s="49" customFormat="1" ht="15.75" customHeight="1" x14ac:dyDescent="0.25">
      <c r="A17" s="47"/>
      <c r="B17" s="471" t="s">
        <v>877</v>
      </c>
      <c r="C17" s="466" t="str">
        <f>IF('company data'!B25="","not filled in",'company data'!B25)</f>
        <v>not filled in</v>
      </c>
      <c r="D17" s="667" t="str">
        <f>IF(C17="not filled in","entry mandatory",IF('company data'!O26=10,"select yes/no - further details at row 29"," "))</f>
        <v>entry mandatory</v>
      </c>
      <c r="E17" s="491"/>
      <c r="F17" s="491"/>
      <c r="G17" s="491"/>
      <c r="H17" s="491">
        <f>IF(ISERROR(VLOOKUP(D17,Stammdaten!$G$2:$H$38,2,FALSE)),0,VLOOKUP(D17,Stammdaten!$G$2:$H$38,2,FALSE))</f>
        <v>1</v>
      </c>
      <c r="I17" s="491"/>
    </row>
    <row r="18" spans="1:12" s="49" customFormat="1" ht="14.25" customHeight="1" x14ac:dyDescent="0.25">
      <c r="A18" s="47"/>
      <c r="B18" s="471" t="s">
        <v>878</v>
      </c>
      <c r="C18" s="467" t="str">
        <f>IF('company data'!B26="","not filled in",'company data'!B26)</f>
        <v>not filled in</v>
      </c>
      <c r="D18" s="667" t="str">
        <f>IF(C18="not filled in","entry mandatory",IF('company data'!O26=10,"select yes/no - further details at row 37",""))</f>
        <v>entry mandatory</v>
      </c>
      <c r="E18" s="491"/>
      <c r="F18" s="491"/>
      <c r="G18" s="491"/>
      <c r="H18" s="491">
        <f>IF(ISERROR(VLOOKUP(D18,Stammdaten!$G$2:$H$38,2,FALSE)),0,VLOOKUP(D18,Stammdaten!$G$2:$H$38,2,FALSE))</f>
        <v>1</v>
      </c>
      <c r="I18" s="491"/>
    </row>
    <row r="19" spans="1:12" s="747" customFormat="1" ht="15" customHeight="1" x14ac:dyDescent="0.25">
      <c r="A19" s="744"/>
      <c r="B19" s="745" t="s">
        <v>1004</v>
      </c>
      <c r="C19" s="748" t="str">
        <f>IF('company data'!B27="","not filled in",'company data'!B27)</f>
        <v>not filled in</v>
      </c>
      <c r="D19" s="667" t="str">
        <f>IF('company data'!B26="yes",IF(C19="not filled in","entry mandatory",""),"")</f>
        <v/>
      </c>
      <c r="E19" s="491"/>
      <c r="F19" s="491"/>
      <c r="G19" s="491"/>
      <c r="H19" s="491">
        <f>IF(ISERROR(VLOOKUP(D19,Stammdaten!$G$2:$H$38,2,FALSE)),0,VLOOKUP(D19,Stammdaten!$G$2:$H$38,2,FALSE))</f>
        <v>0</v>
      </c>
      <c r="I19" s="491"/>
      <c r="J19" s="746"/>
      <c r="K19" s="491"/>
      <c r="L19" s="491"/>
    </row>
    <row r="20" spans="1:12" s="39" customFormat="1" ht="6.75" customHeight="1" x14ac:dyDescent="0.2">
      <c r="A20" s="44"/>
      <c r="C20" s="43"/>
      <c r="D20" s="668"/>
      <c r="E20" s="490"/>
      <c r="F20" s="490"/>
      <c r="G20" s="490"/>
      <c r="H20" s="491">
        <f>IF(ISERROR(VLOOKUP(D20,Stammdaten!$G$2:$H$38,2,FALSE)),0,VLOOKUP(D20,Stammdaten!$G$2:$H$38,2,FALSE))</f>
        <v>0</v>
      </c>
      <c r="I20" s="490"/>
    </row>
    <row r="21" spans="1:12" s="39" customFormat="1" ht="24" customHeight="1" x14ac:dyDescent="0.2">
      <c r="A21" s="44"/>
      <c r="B21" s="37" t="s">
        <v>879</v>
      </c>
      <c r="C21" s="43"/>
      <c r="D21" s="668" t="str">
        <f>IF(SUM(D22:D26)&gt;0,IF(SUM(D22:D26)&lt;5,"address incomplete",""),"")</f>
        <v/>
      </c>
      <c r="E21" s="490"/>
      <c r="F21" s="490"/>
      <c r="G21" s="490"/>
      <c r="H21" s="491">
        <f>IF(ISERROR(VLOOKUP(D21,Stammdaten!$G$2:$H$38,2,FALSE)),0,VLOOKUP(D21,Stammdaten!$G$2:$H$38,2,FALSE))</f>
        <v>0</v>
      </c>
      <c r="I21" s="490"/>
    </row>
    <row r="22" spans="1:12" s="49" customFormat="1" ht="13.5" customHeight="1" x14ac:dyDescent="0.25">
      <c r="A22" s="47"/>
      <c r="B22" s="471" t="s">
        <v>803</v>
      </c>
      <c r="C22" s="468" t="str">
        <f>IF('company data'!B30="","not filled in",'company data'!B30)</f>
        <v>not filled in</v>
      </c>
      <c r="D22" s="706">
        <f>IF('company data'!B30="",1,"")</f>
        <v>1</v>
      </c>
      <c r="E22" s="491"/>
      <c r="F22" s="491"/>
      <c r="G22" s="491"/>
      <c r="H22" s="491">
        <f>IF(ISERROR(VLOOKUP(D22,Stammdaten!$G$2:$H$38,2,FALSE)),0,VLOOKUP(D22,Stammdaten!$G$2:$H$38,2,FALSE))</f>
        <v>0</v>
      </c>
      <c r="I22" s="491"/>
    </row>
    <row r="23" spans="1:12" s="49" customFormat="1" ht="13.5" customHeight="1" x14ac:dyDescent="0.25">
      <c r="A23" s="47"/>
      <c r="B23" s="471" t="s">
        <v>804</v>
      </c>
      <c r="C23" s="468" t="str">
        <f>IF('company data'!B31="","not filled in",'company data'!B31)</f>
        <v>not filled in</v>
      </c>
      <c r="D23" s="706">
        <f>IF('company data'!B31="",1,"")</f>
        <v>1</v>
      </c>
      <c r="E23" s="491"/>
      <c r="F23" s="491"/>
      <c r="G23" s="491"/>
      <c r="H23" s="491">
        <f>IF(ISERROR(VLOOKUP(D23,Stammdaten!$G$2:$H$38,2,FALSE)),0,VLOOKUP(D23,Stammdaten!$G$2:$H$38,2,FALSE))</f>
        <v>0</v>
      </c>
      <c r="I23" s="491"/>
    </row>
    <row r="24" spans="1:12" s="49" customFormat="1" ht="13.5" customHeight="1" x14ac:dyDescent="0.25">
      <c r="A24" s="47"/>
      <c r="B24" s="471" t="s">
        <v>805</v>
      </c>
      <c r="C24" s="468" t="str">
        <f>IF('company data'!B32="","not filled in",'company data'!B32)</f>
        <v>not filled in</v>
      </c>
      <c r="D24" s="706">
        <f>IF('company data'!B32="",1,"")</f>
        <v>1</v>
      </c>
      <c r="E24" s="491"/>
      <c r="F24" s="491"/>
      <c r="G24" s="491"/>
      <c r="H24" s="491">
        <f>IF(ISERROR(VLOOKUP(D24,Stammdaten!$G$2:$H$38,2,FALSE)),0,VLOOKUP(D24,Stammdaten!$G$2:$H$38,2,FALSE))</f>
        <v>0</v>
      </c>
      <c r="I24" s="491"/>
    </row>
    <row r="25" spans="1:12" s="49" customFormat="1" ht="13.5" customHeight="1" x14ac:dyDescent="0.25">
      <c r="A25" s="47"/>
      <c r="B25" s="471" t="s">
        <v>806</v>
      </c>
      <c r="C25" s="468" t="str">
        <f>IF('company data'!B33="","not filled in",'company data'!B33)</f>
        <v>not filled in</v>
      </c>
      <c r="D25" s="706">
        <f>IF('company data'!B33="",1,"")</f>
        <v>1</v>
      </c>
      <c r="E25" s="491"/>
      <c r="F25" s="491"/>
      <c r="G25" s="491"/>
      <c r="H25" s="491">
        <f>IF(ISERROR(VLOOKUP(D25,Stammdaten!$G$2:$H$38,2,FALSE)),0,VLOOKUP(D25,Stammdaten!$G$2:$H$38,2,FALSE))</f>
        <v>0</v>
      </c>
      <c r="I25" s="491"/>
    </row>
    <row r="26" spans="1:12" s="49" customFormat="1" ht="13.5" customHeight="1" x14ac:dyDescent="0.25">
      <c r="A26" s="47"/>
      <c r="B26" s="471" t="s">
        <v>807</v>
      </c>
      <c r="C26" s="468" t="str">
        <f>IF('company data'!B34="","not filled in",'company data'!B34)</f>
        <v>not filled in</v>
      </c>
      <c r="D26" s="706">
        <f>IF('company data'!B34="",1,"")</f>
        <v>1</v>
      </c>
      <c r="E26" s="491"/>
      <c r="F26" s="491"/>
      <c r="G26" s="491"/>
      <c r="H26" s="491">
        <f>IF(ISERROR(VLOOKUP(D26,Stammdaten!$G$2:$H$38,2,FALSE)),0,VLOOKUP(D26,Stammdaten!$G$2:$H$38,2,FALSE))</f>
        <v>0</v>
      </c>
      <c r="I26" s="491"/>
    </row>
    <row r="27" spans="1:12" s="49" customFormat="1" ht="28.5" customHeight="1" x14ac:dyDescent="0.25">
      <c r="A27" s="47"/>
      <c r="B27" s="745" t="s">
        <v>1008</v>
      </c>
      <c r="C27" s="468" t="str">
        <f>IF('company data'!B35="","not filled in",'company data'!B35)</f>
        <v>not filled in</v>
      </c>
      <c r="D27" s="673" t="str">
        <f>IF('company data'!D36=100,"Content inconsistent with the following line",IF('company data'!B35="",IF('company data'!B36="","Information on electronic invoicing mandatory -&gt; e-mail address or rejection)",""),""))</f>
        <v>Information on electronic invoicing mandatory -&gt; e-mail address or rejection)</v>
      </c>
      <c r="E27" s="491"/>
      <c r="F27" s="491"/>
      <c r="G27" s="491"/>
      <c r="H27" s="491">
        <f>IF(ISERROR(VLOOKUP(D27,Stammdaten!$G$2:$H$38,2,FALSE)),0,VLOOKUP(D27,Stammdaten!$G$2:$H$38,2,FALSE))</f>
        <v>0</v>
      </c>
      <c r="I27" s="491"/>
    </row>
    <row r="28" spans="1:12" s="49" customFormat="1" ht="51.75" customHeight="1" x14ac:dyDescent="0.25">
      <c r="A28" s="47"/>
      <c r="B28" s="745" t="s">
        <v>992</v>
      </c>
      <c r="C28" s="468" t="str">
        <f>IF('company data'!B36="","not filled in",'company data'!B36)</f>
        <v>not filled in</v>
      </c>
      <c r="D28" s="667" t="str">
        <f>IF('company data'!D36=100,"Address entry only when participating in electronic invoicing - in previous line a different statement was made -&gt; check urgently",IF(Tabelle1!H13="ungültig","e-mail address incorrect",IF('company data'!B36&lt;&gt;"",IF('company data'!D36=100,"Address entry only when participating in electronic invoicing - in previous line a different statement was made -&gt; check urgently",""),"")))</f>
        <v/>
      </c>
      <c r="E28" s="491"/>
      <c r="F28" s="491"/>
      <c r="G28" s="491"/>
      <c r="H28" s="491">
        <f>IF(ISERROR(VLOOKUP(D28,Stammdaten!$G$2:$H$38,2,FALSE)),0,VLOOKUP(D28,Stammdaten!$G$2:$H$38,2,FALSE))</f>
        <v>0</v>
      </c>
      <c r="I28" s="491"/>
    </row>
    <row r="29" spans="1:12" s="39" customFormat="1" ht="3" customHeight="1" x14ac:dyDescent="0.2">
      <c r="A29" s="44"/>
      <c r="C29" s="43">
        <f>'company data'!B39</f>
        <v>0</v>
      </c>
      <c r="D29" s="668"/>
      <c r="E29" s="490"/>
      <c r="F29" s="490"/>
      <c r="G29" s="490"/>
      <c r="H29" s="491">
        <f>IF(ISERROR(VLOOKUP(D29,Stammdaten!$G$2:$H$38,2,FALSE)),0,VLOOKUP(D29,Stammdaten!$G$2:$H$38,2,FALSE))</f>
        <v>0</v>
      </c>
      <c r="I29" s="490"/>
    </row>
    <row r="30" spans="1:12" s="39" customFormat="1" ht="17.25" customHeight="1" x14ac:dyDescent="0.2">
      <c r="A30" s="44"/>
      <c r="B30" s="37" t="s">
        <v>880</v>
      </c>
      <c r="C30" s="43"/>
      <c r="D30" s="668"/>
      <c r="E30" s="490"/>
      <c r="F30" s="490"/>
      <c r="G30" s="490"/>
      <c r="H30" s="491">
        <f>IF(ISERROR(VLOOKUP(D30,Stammdaten!$G$2:$H$38,2,FALSE)),0,VLOOKUP(D30,Stammdaten!$G$2:$H$38,2,FALSE))</f>
        <v>0</v>
      </c>
      <c r="I30" s="490"/>
    </row>
    <row r="31" spans="1:12" s="49" customFormat="1" ht="13.5" customHeight="1" x14ac:dyDescent="0.25">
      <c r="A31" s="47"/>
      <c r="B31" s="471" t="s">
        <v>803</v>
      </c>
      <c r="C31" s="468" t="str">
        <f>IF('company data'!B41="","not filled in",'company data'!B41)</f>
        <v>not filled in</v>
      </c>
      <c r="D31" s="667" t="str">
        <f>IF($C$17="ja",IF(C30="not filled in","entry mandatory",""),"")</f>
        <v/>
      </c>
      <c r="E31" s="491"/>
      <c r="F31" s="491"/>
      <c r="G31" s="491"/>
      <c r="H31" s="491">
        <f>IF(ISERROR(VLOOKUP(D31,Stammdaten!$G$2:$H$38,2,FALSE)),0,VLOOKUP(D31,Stammdaten!$G$2:$H$38,2,FALSE))</f>
        <v>0</v>
      </c>
      <c r="I31" s="491"/>
    </row>
    <row r="32" spans="1:12" s="49" customFormat="1" ht="13.5" customHeight="1" x14ac:dyDescent="0.25">
      <c r="A32" s="47"/>
      <c r="B32" s="471" t="s">
        <v>804</v>
      </c>
      <c r="C32" s="468" t="str">
        <f>IF('company data'!B42="","not filled in",'company data'!B42)</f>
        <v>not filled in</v>
      </c>
      <c r="D32" s="667" t="str">
        <f>IF($C$17="ja",IF(C31="not filled in","entry mandatory",""),"")</f>
        <v/>
      </c>
      <c r="E32" s="491"/>
      <c r="F32" s="491"/>
      <c r="G32" s="491"/>
      <c r="H32" s="491">
        <f>IF(ISERROR(VLOOKUP(D32,Stammdaten!$G$2:$H$38,2,FALSE)),0,VLOOKUP(D32,Stammdaten!$G$2:$H$38,2,FALSE))</f>
        <v>0</v>
      </c>
      <c r="I32" s="491"/>
    </row>
    <row r="33" spans="1:9" s="49" customFormat="1" ht="13.5" customHeight="1" x14ac:dyDescent="0.25">
      <c r="A33" s="47"/>
      <c r="B33" s="471" t="s">
        <v>805</v>
      </c>
      <c r="C33" s="468" t="str">
        <f>IF('company data'!B43="","not filled in",'company data'!B43)</f>
        <v>not filled in</v>
      </c>
      <c r="D33" s="667" t="str">
        <f>IF($C$17="ja",IF(C32="not filled in","entry mandatory",""),"")</f>
        <v/>
      </c>
      <c r="E33" s="491"/>
      <c r="F33" s="491"/>
      <c r="G33" s="491"/>
      <c r="H33" s="491">
        <f>IF(ISERROR(VLOOKUP(D33,Stammdaten!$G$2:$H$38,2,FALSE)),0,VLOOKUP(D33,Stammdaten!$G$2:$H$38,2,FALSE))</f>
        <v>0</v>
      </c>
      <c r="I33" s="491"/>
    </row>
    <row r="34" spans="1:9" s="49" customFormat="1" ht="13.5" customHeight="1" x14ac:dyDescent="0.25">
      <c r="A34" s="47"/>
      <c r="B34" s="471" t="s">
        <v>806</v>
      </c>
      <c r="C34" s="468" t="str">
        <f>IF('company data'!B44="","not filled in",'company data'!B44)</f>
        <v>not filled in</v>
      </c>
      <c r="D34" s="667" t="str">
        <f>IF($C$17="ja",IF(C33="not filled in","entry mandatory",""),"")</f>
        <v/>
      </c>
      <c r="E34" s="491"/>
      <c r="F34" s="491"/>
      <c r="G34" s="491"/>
      <c r="H34" s="491">
        <f>IF(ISERROR(VLOOKUP(D34,Stammdaten!$G$2:$H$38,2,FALSE)),0,VLOOKUP(D34,Stammdaten!$G$2:$H$38,2,FALSE))</f>
        <v>0</v>
      </c>
      <c r="I34" s="491"/>
    </row>
    <row r="35" spans="1:9" s="49" customFormat="1" ht="13.5" customHeight="1" x14ac:dyDescent="0.25">
      <c r="A35" s="47"/>
      <c r="B35" s="471" t="s">
        <v>807</v>
      </c>
      <c r="C35" s="468" t="str">
        <f>IF('company data'!B45="","not filled in",'company data'!B45)</f>
        <v>not filled in</v>
      </c>
      <c r="D35" s="667" t="str">
        <f>IF($C$17="ja",IF(C34="not filled in","entry mandatory",""),"")</f>
        <v/>
      </c>
      <c r="E35" s="491"/>
      <c r="F35" s="491"/>
      <c r="G35" s="491"/>
      <c r="H35" s="491">
        <f>IF(ISERROR(VLOOKUP(D35,Stammdaten!$G$2:$H$38,2,FALSE)),0,VLOOKUP(D35,Stammdaten!$G$2:$H$38,2,FALSE))</f>
        <v>0</v>
      </c>
      <c r="I35" s="491"/>
    </row>
    <row r="36" spans="1:9" s="49" customFormat="1" ht="13.5" customHeight="1" x14ac:dyDescent="0.25">
      <c r="A36" s="47"/>
      <c r="B36" s="471" t="s">
        <v>808</v>
      </c>
      <c r="C36" s="767" t="str">
        <f>IF('company data'!B46="","not filled in",'company data'!B46)</f>
        <v>not filled in</v>
      </c>
      <c r="D36" s="753"/>
      <c r="E36" s="491"/>
      <c r="F36" s="491"/>
      <c r="G36" s="491"/>
      <c r="H36" s="491">
        <f>IF(ISERROR(VLOOKUP(D36,Stammdaten!$G$2:$H$38,2,FALSE)),0,VLOOKUP(D36,Stammdaten!$G$2:$H$38,2,FALSE))</f>
        <v>0</v>
      </c>
      <c r="I36" s="491"/>
    </row>
    <row r="37" spans="1:9" s="39" customFormat="1" ht="12.75" customHeight="1" x14ac:dyDescent="0.2">
      <c r="A37" s="44"/>
      <c r="B37" s="40"/>
      <c r="C37" s="469"/>
      <c r="D37" s="669"/>
      <c r="E37" s="490"/>
      <c r="F37" s="490"/>
      <c r="G37" s="490"/>
      <c r="H37" s="491">
        <f>IF(ISERROR(VLOOKUP(D37,Stammdaten!$G$2:$H$38,2,FALSE)),0,VLOOKUP(D37,Stammdaten!$G$2:$H$38,2,FALSE))</f>
        <v>0</v>
      </c>
      <c r="I37" s="490"/>
    </row>
    <row r="38" spans="1:9" s="39" customFormat="1" ht="17.25" customHeight="1" x14ac:dyDescent="0.2">
      <c r="A38" s="44"/>
      <c r="B38" s="37" t="s">
        <v>881</v>
      </c>
      <c r="C38" s="464"/>
      <c r="D38" s="668"/>
      <c r="E38" s="490"/>
      <c r="F38" s="490"/>
      <c r="G38" s="490"/>
      <c r="H38" s="491">
        <f>IF(ISERROR(VLOOKUP(D38,Stammdaten!$G$2:$H$38,2,FALSE)),0,VLOOKUP(D38,Stammdaten!$G$2:$H$38,2,FALSE))</f>
        <v>0</v>
      </c>
      <c r="I38" s="490"/>
    </row>
    <row r="39" spans="1:9" s="49" customFormat="1" ht="13.5" customHeight="1" x14ac:dyDescent="0.25">
      <c r="A39" s="47"/>
      <c r="B39" s="471" t="s">
        <v>803</v>
      </c>
      <c r="C39" s="468" t="str">
        <f>IF('company data'!B49="","not filled in",'company data'!B49)</f>
        <v>not filled in</v>
      </c>
      <c r="D39" s="667" t="str">
        <f>IF($C$18="yes",IF(C39="not filled in","entry mandatory",""),"")</f>
        <v/>
      </c>
      <c r="E39" s="491"/>
      <c r="F39" s="491"/>
      <c r="G39" s="491"/>
      <c r="H39" s="491">
        <f>IF(ISERROR(VLOOKUP(D39,Stammdaten!$G$2:$H$38,2,FALSE)),0,VLOOKUP(D39,Stammdaten!$G$2:$H$38,2,FALSE))</f>
        <v>0</v>
      </c>
      <c r="I39" s="491"/>
    </row>
    <row r="40" spans="1:9" s="49" customFormat="1" ht="13.5" customHeight="1" x14ac:dyDescent="0.25">
      <c r="A40" s="47"/>
      <c r="B40" s="471" t="s">
        <v>804</v>
      </c>
      <c r="C40" s="468" t="str">
        <f>IF('company data'!B50="","not filled in",'company data'!B50)</f>
        <v>not filled in</v>
      </c>
      <c r="D40" s="667" t="str">
        <f>IF($C$18="yes",IF(C40="not filled in","entry mandatory",""),"")</f>
        <v/>
      </c>
      <c r="E40" s="491"/>
      <c r="F40" s="491"/>
      <c r="G40" s="491"/>
      <c r="H40" s="491">
        <f>IF(ISERROR(VLOOKUP(D40,Stammdaten!$G$2:$H$38,2,FALSE)),0,VLOOKUP(D40,Stammdaten!$G$2:$H$38,2,FALSE))</f>
        <v>0</v>
      </c>
      <c r="I40" s="491"/>
    </row>
    <row r="41" spans="1:9" s="49" customFormat="1" ht="13.5" customHeight="1" x14ac:dyDescent="0.25">
      <c r="A41" s="47"/>
      <c r="B41" s="471" t="s">
        <v>805</v>
      </c>
      <c r="C41" s="468" t="str">
        <f>IF('company data'!B51="","not filled in",'company data'!B51)</f>
        <v>not filled in</v>
      </c>
      <c r="D41" s="667" t="str">
        <f>IF($C$18="yes",IF(C41="not filled in","entry mandatory",""),"")</f>
        <v/>
      </c>
      <c r="E41" s="491"/>
      <c r="F41" s="491"/>
      <c r="G41" s="491"/>
      <c r="H41" s="491">
        <f>IF(ISERROR(VLOOKUP(D41,Stammdaten!$G$2:$H$38,2,FALSE)),0,VLOOKUP(D41,Stammdaten!$G$2:$H$38,2,FALSE))</f>
        <v>0</v>
      </c>
      <c r="I41" s="491"/>
    </row>
    <row r="42" spans="1:9" s="49" customFormat="1" ht="13.5" customHeight="1" x14ac:dyDescent="0.25">
      <c r="A42" s="47"/>
      <c r="B42" s="471" t="s">
        <v>806</v>
      </c>
      <c r="C42" s="468" t="str">
        <f>IF('company data'!B52="","not filled in",'company data'!B52)</f>
        <v>not filled in</v>
      </c>
      <c r="D42" s="667" t="str">
        <f>IF($C$18="yes",IF(C42="not filled in","entry mandatory",""),"")</f>
        <v/>
      </c>
      <c r="E42" s="491"/>
      <c r="F42" s="491"/>
      <c r="G42" s="491"/>
      <c r="H42" s="491">
        <f>IF(ISERROR(VLOOKUP(D42,Stammdaten!$G$2:$H$38,2,FALSE)),0,VLOOKUP(D42,Stammdaten!$G$2:$H$38,2,FALSE))</f>
        <v>0</v>
      </c>
      <c r="I42" s="491"/>
    </row>
    <row r="43" spans="1:9" s="49" customFormat="1" ht="13.5" customHeight="1" x14ac:dyDescent="0.25">
      <c r="A43" s="47"/>
      <c r="B43" s="471" t="s">
        <v>807</v>
      </c>
      <c r="C43" s="468" t="str">
        <f>IF('company data'!B53="","not filled in",'company data'!B53)</f>
        <v>not filled in</v>
      </c>
      <c r="D43" s="667" t="str">
        <f>IF($C$18="yes",IF(C43="not filled in","entry mandatory",""),"")</f>
        <v/>
      </c>
      <c r="E43" s="491"/>
      <c r="F43" s="491"/>
      <c r="G43" s="491"/>
      <c r="H43" s="491">
        <f>IF(ISERROR(VLOOKUP(D43,Stammdaten!$G$2:$H$38,2,FALSE)),0,VLOOKUP(D43,Stammdaten!$G$2:$H$38,2,FALSE))</f>
        <v>0</v>
      </c>
      <c r="I43" s="491"/>
    </row>
    <row r="44" spans="1:9" s="49" customFormat="1" ht="30.75" customHeight="1" x14ac:dyDescent="0.25">
      <c r="A44" s="47"/>
      <c r="B44" s="752" t="s">
        <v>808</v>
      </c>
      <c r="C44" s="766" t="str">
        <f>IF('company data'!B54="","not filled in",'company data'!B54)</f>
        <v>not filled in</v>
      </c>
      <c r="D44" s="753" t="str">
        <f>IF($C$18="yes",IF(C44=C13,"DUNS number identical to contract location. The DUNS usually different.",IF(C44="not filled in","entry mandatory","")),"")</f>
        <v/>
      </c>
      <c r="E44" s="491"/>
      <c r="F44" s="491"/>
      <c r="G44" s="491"/>
      <c r="H44" s="491">
        <f>IF(ISERROR(VLOOKUP(D44,Stammdaten!$G$2:$H$38,2,FALSE)),0,VLOOKUP(D44,Stammdaten!$G$2:$H$38,2,FALSE))</f>
        <v>0</v>
      </c>
      <c r="I44" s="491"/>
    </row>
    <row r="45" spans="1:9" s="49" customFormat="1" ht="15" customHeight="1" x14ac:dyDescent="0.25">
      <c r="A45" s="47"/>
      <c r="B45" s="745" t="s">
        <v>1006</v>
      </c>
      <c r="C45" s="468" t="str">
        <f>IF('company data'!B55="","not filled in",'company data'!B55)</f>
        <v>not filled in</v>
      </c>
      <c r="D45" s="667" t="str">
        <f>IF($C$18="yes",IF('company data'!P63=2,IF(C45="not filled in","entry mandatory",""),""),"")</f>
        <v/>
      </c>
      <c r="E45" s="491"/>
      <c r="F45" s="491"/>
      <c r="G45" s="491"/>
      <c r="H45" s="491">
        <f>IF(ISERROR(VLOOKUP(D45,Stammdaten!$G$2:$H$38,2,FALSE)),0,VLOOKUP(D45,Stammdaten!$G$2:$H$38,2,FALSE))</f>
        <v>0</v>
      </c>
      <c r="I45" s="491"/>
    </row>
    <row r="46" spans="1:9" s="49" customFormat="1" ht="26.25" customHeight="1" x14ac:dyDescent="0.25">
      <c r="A46" s="47"/>
      <c r="B46" s="745" t="s">
        <v>1009</v>
      </c>
      <c r="C46" s="468" t="str">
        <f>IF('company data'!B56="","not filled in",'company data'!B56)</f>
        <v>not filled in</v>
      </c>
      <c r="D46" s="667" t="str">
        <f>IF(z_frage_andererstandort_daten="yes",IF('company data'!B56="","entry mandatory",IF('company data'!B56="no","",IF('add on data access locations'!P5=0,"waiting for recording of location overview. Listing is mandatory.",IF('add on data access locations'!Q5&gt;0,"location list incomplete","")))),"")</f>
        <v/>
      </c>
      <c r="E46" s="491"/>
      <c r="F46" s="491"/>
      <c r="G46" s="491"/>
      <c r="H46" s="491">
        <f>IF(ISERROR(VLOOKUP(D46,Stammdaten!$G$2:$H$38,2,FALSE)),0,VLOOKUP(D46,Stammdaten!$G$2:$H$38,2,FALSE))</f>
        <v>0</v>
      </c>
      <c r="I46" s="491"/>
    </row>
    <row r="47" spans="1:9" s="49" customFormat="1" ht="26.25" customHeight="1" x14ac:dyDescent="0.2">
      <c r="A47" s="47"/>
      <c r="B47" s="37" t="s">
        <v>1129</v>
      </c>
      <c r="C47" s="904"/>
      <c r="D47" s="753"/>
      <c r="E47" s="491"/>
      <c r="F47" s="491"/>
      <c r="G47" s="491"/>
      <c r="H47" s="491">
        <f>IF(ISERROR(VLOOKUP(D47,Stammdaten!$G$2:$H$38,2,FALSE)),0,VLOOKUP(D47,Stammdaten!$G$2:$H$38,2,FALSE))</f>
        <v>0</v>
      </c>
      <c r="I47" s="491"/>
    </row>
    <row r="48" spans="1:9" s="49" customFormat="1" ht="18" customHeight="1" x14ac:dyDescent="0.25">
      <c r="A48" s="47"/>
      <c r="B48" s="905" t="str">
        <f>IF('add on data access locations'!J6=0,"add-on location 1","DUNS: "&amp;'add on data access locations'!G6&amp;" / "&amp;'add on data access locations'!B6)</f>
        <v>add-on location 1</v>
      </c>
      <c r="C48" s="906" t="str">
        <f>IF('add on data access locations'!J6=0,"not filled in",'add on data access locations'!D6&amp;"; "&amp;'add on data access locations'!E6&amp;"; "&amp;'add on data access locations'!C6&amp;"; "&amp;'add on data access locations'!F6&amp;" / "&amp;'add on data access locations'!I6)</f>
        <v>not filled in</v>
      </c>
      <c r="D48" s="753" t="str">
        <f>IF('add on data access locations'!J6=1,IF('add on data access locations'!H6="data complete","","location information incomplete"),"")</f>
        <v/>
      </c>
      <c r="E48" s="491"/>
      <c r="F48" s="491"/>
      <c r="G48" s="491"/>
      <c r="H48" s="491">
        <f>IF(ISERROR(VLOOKUP(D48,Stammdaten!$G$2:$H$38,2,FALSE)),0,VLOOKUP(D48,Stammdaten!$G$2:$H$38,2,FALSE))</f>
        <v>0</v>
      </c>
      <c r="I48" s="491"/>
    </row>
    <row r="49" spans="1:9" s="49" customFormat="1" ht="18" customHeight="1" x14ac:dyDescent="0.25">
      <c r="A49" s="47"/>
      <c r="B49" s="905" t="str">
        <f>IF('add on data access locations'!J7=0,"add-on location 2","DUNS: "&amp;'add on data access locations'!G7&amp;" / "&amp;'add on data access locations'!B7)</f>
        <v>add-on location 2</v>
      </c>
      <c r="C49" s="906" t="str">
        <f>IF('add on data access locations'!J7=0,"not filled in",'add on data access locations'!D7&amp;"; "&amp;'add on data access locations'!E7&amp;"; "&amp;'add on data access locations'!C7&amp;"; "&amp;'add on data access locations'!F7&amp;" / "&amp;'add on data access locations'!I7)</f>
        <v>not filled in</v>
      </c>
      <c r="D49" s="753" t="str">
        <f>IF('add on data access locations'!J7=1,IF('add on data access locations'!H7="data complete","","location information incomplete"),"")</f>
        <v/>
      </c>
      <c r="E49" s="491"/>
      <c r="F49" s="491"/>
      <c r="G49" s="491"/>
      <c r="H49" s="491">
        <f>IF(ISERROR(VLOOKUP(D49,Stammdaten!$G$2:$H$38,2,FALSE)),0,VLOOKUP(D49,Stammdaten!$G$2:$H$38,2,FALSE))</f>
        <v>0</v>
      </c>
      <c r="I49" s="491"/>
    </row>
    <row r="50" spans="1:9" s="49" customFormat="1" ht="18" customHeight="1" x14ac:dyDescent="0.25">
      <c r="A50" s="47"/>
      <c r="B50" s="905" t="str">
        <f>IF('add on data access locations'!J8=0,"add-on location 3","DUNS: "&amp;'add on data access locations'!G8&amp;" / "&amp;'add on data access locations'!B8)</f>
        <v>add-on location 3</v>
      </c>
      <c r="C50" s="906" t="str">
        <f>IF('add on data access locations'!J8=0,"not filled in",'add on data access locations'!D8&amp;"; "&amp;'add on data access locations'!E8&amp;"; "&amp;'add on data access locations'!C8&amp;"; "&amp;'add on data access locations'!F8&amp;" / "&amp;'add on data access locations'!I8)</f>
        <v>not filled in</v>
      </c>
      <c r="D50" s="753" t="str">
        <f>IF('add on data access locations'!J8=1,IF('add on data access locations'!H8="data complete","","location information incomplete"),"")</f>
        <v/>
      </c>
      <c r="E50" s="491"/>
      <c r="F50" s="491"/>
      <c r="G50" s="491"/>
      <c r="H50" s="491">
        <f>IF(ISERROR(VLOOKUP(D50,Stammdaten!$G$2:$H$38,2,FALSE)),0,VLOOKUP(D50,Stammdaten!$G$2:$H$38,2,FALSE))</f>
        <v>0</v>
      </c>
      <c r="I50" s="491"/>
    </row>
    <row r="51" spans="1:9" s="49" customFormat="1" ht="18" customHeight="1" x14ac:dyDescent="0.25">
      <c r="A51" s="47"/>
      <c r="B51" s="905" t="str">
        <f>IF('add on data access locations'!J9=0,"add-on location 4","DUNS: "&amp;'add on data access locations'!G9&amp;" / "&amp;'add on data access locations'!B9)</f>
        <v>add-on location 4</v>
      </c>
      <c r="C51" s="906" t="str">
        <f>IF('add on data access locations'!J9=0,"not filled in",'add on data access locations'!D9&amp;"; "&amp;'add on data access locations'!E9&amp;"; "&amp;'add on data access locations'!C9&amp;"; "&amp;'add on data access locations'!F9&amp;" / "&amp;'add on data access locations'!I9)</f>
        <v>not filled in</v>
      </c>
      <c r="D51" s="753" t="str">
        <f>IF('add on data access locations'!J9=1,IF('add on data access locations'!H9="data complete","","location information incomplete"),"")</f>
        <v/>
      </c>
      <c r="E51" s="491"/>
      <c r="F51" s="491"/>
      <c r="G51" s="491"/>
      <c r="H51" s="491">
        <f>IF(ISERROR(VLOOKUP(D51,Stammdaten!$G$2:$H$38,2,FALSE)),0,VLOOKUP(D51,Stammdaten!$G$2:$H$38,2,FALSE))</f>
        <v>0</v>
      </c>
      <c r="I51" s="491"/>
    </row>
    <row r="52" spans="1:9" s="49" customFormat="1" ht="18" customHeight="1" x14ac:dyDescent="0.25">
      <c r="A52" s="47"/>
      <c r="B52" s="905" t="str">
        <f>IF('add on data access locations'!J10=0,"add-on location 5","DUNS: "&amp;'add on data access locations'!G10&amp;" / "&amp;'add on data access locations'!B10)</f>
        <v>add-on location 5</v>
      </c>
      <c r="C52" s="906" t="str">
        <f>IF('add on data access locations'!J10=0,"not filled in",'add on data access locations'!D10&amp;"; "&amp;'add on data access locations'!E10&amp;"; "&amp;'add on data access locations'!C10&amp;"; "&amp;'add on data access locations'!F10&amp;" / "&amp;'add on data access locations'!I10)</f>
        <v>not filled in</v>
      </c>
      <c r="D52" s="753" t="str">
        <f>IF('add on data access locations'!J10=1,IF('add on data access locations'!H10="data complete","","location information incomplete"),"")</f>
        <v/>
      </c>
      <c r="E52" s="491"/>
      <c r="F52" s="491"/>
      <c r="G52" s="491"/>
      <c r="H52" s="491">
        <f>IF(ISERROR(VLOOKUP(D52,Stammdaten!$G$2:$H$38,2,FALSE)),0,VLOOKUP(D52,Stammdaten!$G$2:$H$38,2,FALSE))</f>
        <v>0</v>
      </c>
      <c r="I52" s="491"/>
    </row>
    <row r="53" spans="1:9" s="49" customFormat="1" ht="18" customHeight="1" x14ac:dyDescent="0.25">
      <c r="A53" s="47"/>
      <c r="B53" s="905" t="str">
        <f>IF('add on data access locations'!J11=0,"add-on location 6","DUNS: "&amp;'add on data access locations'!G11&amp;" / "&amp;'add on data access locations'!B11)</f>
        <v>add-on location 6</v>
      </c>
      <c r="C53" s="906" t="str">
        <f>IF('add on data access locations'!J11=0,"not filled in",'add on data access locations'!D11&amp;"; "&amp;'add on data access locations'!E11&amp;"; "&amp;'add on data access locations'!C11&amp;"; "&amp;'add on data access locations'!F11&amp;" / "&amp;'add on data access locations'!I11)</f>
        <v>not filled in</v>
      </c>
      <c r="D53" s="753" t="str">
        <f>IF('add on data access locations'!J11=1,IF('add on data access locations'!H11="data complete","","location information incomplete"),"")</f>
        <v/>
      </c>
      <c r="E53" s="491"/>
      <c r="F53" s="491"/>
      <c r="G53" s="491"/>
      <c r="H53" s="491">
        <f>IF(ISERROR(VLOOKUP(D53,Stammdaten!$G$2:$H$38,2,FALSE)),0,VLOOKUP(D53,Stammdaten!$G$2:$H$38,2,FALSE))</f>
        <v>0</v>
      </c>
      <c r="I53" s="491"/>
    </row>
    <row r="54" spans="1:9" s="49" customFormat="1" ht="18" customHeight="1" x14ac:dyDescent="0.25">
      <c r="A54" s="47"/>
      <c r="B54" s="905" t="str">
        <f>IF('add on data access locations'!J12=0,"add-on location 7","DUNS: "&amp;'add on data access locations'!G12&amp;" / "&amp;'add on data access locations'!B12)</f>
        <v>add-on location 7</v>
      </c>
      <c r="C54" s="906" t="str">
        <f>IF('add on data access locations'!J12=0,"not filled in",'add on data access locations'!D12&amp;"; "&amp;'add on data access locations'!E12&amp;"; "&amp;'add on data access locations'!C12&amp;"; "&amp;'add on data access locations'!F12&amp;" / "&amp;'add on data access locations'!I12)</f>
        <v>not filled in</v>
      </c>
      <c r="D54" s="753" t="str">
        <f>IF('add on data access locations'!J12=1,IF('add on data access locations'!H12="data complete","","location information incomplete"),"")</f>
        <v/>
      </c>
      <c r="E54" s="491"/>
      <c r="F54" s="491"/>
      <c r="G54" s="491"/>
      <c r="H54" s="491">
        <f>IF(ISERROR(VLOOKUP(D54,Stammdaten!$G$2:$H$38,2,FALSE)),0,VLOOKUP(D54,Stammdaten!$G$2:$H$38,2,FALSE))</f>
        <v>0</v>
      </c>
      <c r="I54" s="491"/>
    </row>
    <row r="55" spans="1:9" s="49" customFormat="1" ht="18" customHeight="1" x14ac:dyDescent="0.25">
      <c r="A55" s="47"/>
      <c r="B55" s="905" t="str">
        <f>IF('add on data access locations'!J13=0,"add-on location 8","DUNS: "&amp;'add on data access locations'!G13&amp;" / "&amp;'add on data access locations'!B13)</f>
        <v>add-on location 8</v>
      </c>
      <c r="C55" s="906" t="str">
        <f>IF('add on data access locations'!J13=0,"not filled in",'add on data access locations'!D13&amp;"; "&amp;'add on data access locations'!E13&amp;"; "&amp;'add on data access locations'!C13&amp;"; "&amp;'add on data access locations'!F13&amp;" / "&amp;'add on data access locations'!I13)</f>
        <v>not filled in</v>
      </c>
      <c r="D55" s="753" t="str">
        <f>IF('add on data access locations'!J13=1,IF('add on data access locations'!H13="data complete","","location information incomplete"),"")</f>
        <v/>
      </c>
      <c r="E55" s="491"/>
      <c r="F55" s="491"/>
      <c r="G55" s="491"/>
      <c r="H55" s="491">
        <f>IF(ISERROR(VLOOKUP(D55,Stammdaten!$G$2:$H$38,2,FALSE)),0,VLOOKUP(D55,Stammdaten!$G$2:$H$38,2,FALSE))</f>
        <v>0</v>
      </c>
      <c r="I55" s="491"/>
    </row>
    <row r="56" spans="1:9" s="49" customFormat="1" ht="18" customHeight="1" x14ac:dyDescent="0.25">
      <c r="A56" s="47"/>
      <c r="B56" s="905" t="str">
        <f>IF('add on data access locations'!J14=0,"add-on location 9","DUNS: "&amp;'add on data access locations'!G14&amp;" / "&amp;'add on data access locations'!B14)</f>
        <v>add-on location 9</v>
      </c>
      <c r="C56" s="906" t="str">
        <f>IF('add on data access locations'!J14=0,"not filled in",'add on data access locations'!D14&amp;"; "&amp;'add on data access locations'!E14&amp;"; "&amp;'add on data access locations'!C14&amp;"; "&amp;'add on data access locations'!F14&amp;" / "&amp;'add on data access locations'!I14)</f>
        <v>not filled in</v>
      </c>
      <c r="D56" s="753" t="str">
        <f>IF('add on data access locations'!J14=1,IF('add on data access locations'!H14="data complete","","location information incomplete"),"")</f>
        <v/>
      </c>
      <c r="E56" s="491"/>
      <c r="F56" s="491"/>
      <c r="G56" s="491"/>
      <c r="H56" s="491">
        <f>IF(ISERROR(VLOOKUP(D56,Stammdaten!$G$2:$H$38,2,FALSE)),0,VLOOKUP(D56,Stammdaten!$G$2:$H$38,2,FALSE))</f>
        <v>0</v>
      </c>
      <c r="I56" s="491"/>
    </row>
    <row r="57" spans="1:9" s="49" customFormat="1" ht="18" customHeight="1" x14ac:dyDescent="0.25">
      <c r="A57" s="47"/>
      <c r="B57" s="905" t="str">
        <f>IF('add on data access locations'!J15=0,"add-on location 10","DUNS: "&amp;'add on data access locations'!G15&amp;" / "&amp;'add on data access locations'!B15)</f>
        <v>add-on location 10</v>
      </c>
      <c r="C57" s="906" t="str">
        <f>IF('add on data access locations'!J15=0,"not filled in",'add on data access locations'!D15&amp;"; "&amp;'add on data access locations'!E15&amp;"; "&amp;'add on data access locations'!C15&amp;"; "&amp;'add on data access locations'!F15&amp;" / "&amp;'add on data access locations'!I15)</f>
        <v>not filled in</v>
      </c>
      <c r="D57" s="753" t="str">
        <f>IF('add on data access locations'!J15=1,IF('add on data access locations'!H15="data complete","","location information incomplete"),"")</f>
        <v/>
      </c>
      <c r="E57" s="491"/>
      <c r="F57" s="491"/>
      <c r="G57" s="491"/>
      <c r="H57" s="491">
        <f>IF(ISERROR(VLOOKUP(D57,Stammdaten!$G$2:$H$38,2,FALSE)),0,VLOOKUP(D57,Stammdaten!$G$2:$H$38,2,FALSE))</f>
        <v>0</v>
      </c>
      <c r="I57" s="491"/>
    </row>
    <row r="58" spans="1:9" s="49" customFormat="1" ht="18" customHeight="1" x14ac:dyDescent="0.25">
      <c r="A58" s="47"/>
      <c r="B58" s="905" t="str">
        <f>IF('add on data access locations'!J16=0,"add-on location 11","DUNS: "&amp;'add on data access locations'!G16&amp;" / "&amp;'add on data access locations'!B16)</f>
        <v>add-on location 11</v>
      </c>
      <c r="C58" s="906" t="str">
        <f>IF('add on data access locations'!J16=0,"not filled in",'add on data access locations'!D16&amp;"; "&amp;'add on data access locations'!E16&amp;"; "&amp;'add on data access locations'!C16&amp;"; "&amp;'add on data access locations'!F16&amp;" / "&amp;'add on data access locations'!I16)</f>
        <v>not filled in</v>
      </c>
      <c r="D58" s="753" t="str">
        <f>IF('add on data access locations'!J16=1,IF('add on data access locations'!H16="data complete","","location information incomplete"),"")</f>
        <v/>
      </c>
      <c r="E58" s="491"/>
      <c r="F58" s="491"/>
      <c r="G58" s="491"/>
      <c r="H58" s="491">
        <f>IF(ISERROR(VLOOKUP(D58,Stammdaten!$G$2:$H$38,2,FALSE)),0,VLOOKUP(D58,Stammdaten!$G$2:$H$38,2,FALSE))</f>
        <v>0</v>
      </c>
      <c r="I58" s="491"/>
    </row>
    <row r="59" spans="1:9" s="49" customFormat="1" ht="18" customHeight="1" x14ac:dyDescent="0.25">
      <c r="A59" s="47"/>
      <c r="B59" s="905" t="str">
        <f>IF('add on data access locations'!J17=0,"add-on location 12","DUNS: "&amp;'add on data access locations'!G17&amp;" / "&amp;'add on data access locations'!B17)</f>
        <v>add-on location 12</v>
      </c>
      <c r="C59" s="906" t="str">
        <f>IF('add on data access locations'!J17=0,"not filled in",'add on data access locations'!D17&amp;"; "&amp;'add on data access locations'!E17&amp;"; "&amp;'add on data access locations'!C17&amp;"; "&amp;'add on data access locations'!F17&amp;" / "&amp;'add on data access locations'!I17)</f>
        <v>not filled in</v>
      </c>
      <c r="D59" s="753" t="str">
        <f>IF('add on data access locations'!J17=1,IF('add on data access locations'!H17="data complete","","location information incomplete"),"")</f>
        <v/>
      </c>
      <c r="E59" s="491"/>
      <c r="F59" s="491"/>
      <c r="G59" s="491"/>
      <c r="H59" s="491">
        <f>IF(ISERROR(VLOOKUP(D59,Stammdaten!$G$2:$H$38,2,FALSE)),0,VLOOKUP(D59,Stammdaten!$G$2:$H$38,2,FALSE))</f>
        <v>0</v>
      </c>
      <c r="I59" s="491"/>
    </row>
    <row r="60" spans="1:9" s="49" customFormat="1" ht="18" customHeight="1" x14ac:dyDescent="0.25">
      <c r="A60" s="47"/>
      <c r="B60" s="905" t="str">
        <f>IF('add on data access locations'!J18=0,"add-on location 13","DUNS: "&amp;'add on data access locations'!G18&amp;" / "&amp;'add on data access locations'!B18)</f>
        <v>add-on location 13</v>
      </c>
      <c r="C60" s="906" t="str">
        <f>IF('add on data access locations'!J18=0,"not filled in",'add on data access locations'!D18&amp;"; "&amp;'add on data access locations'!E18&amp;"; "&amp;'add on data access locations'!C18&amp;"; "&amp;'add on data access locations'!F18&amp;" / "&amp;'add on data access locations'!I18)</f>
        <v>not filled in</v>
      </c>
      <c r="D60" s="753" t="str">
        <f>IF('add on data access locations'!J18=1,IF('add on data access locations'!H18="data complete","","location information incomplete"),"")</f>
        <v/>
      </c>
      <c r="E60" s="491"/>
      <c r="F60" s="491"/>
      <c r="G60" s="491"/>
      <c r="H60" s="491">
        <f>IF(ISERROR(VLOOKUP(D60,Stammdaten!$G$2:$H$38,2,FALSE)),0,VLOOKUP(D60,Stammdaten!$G$2:$H$38,2,FALSE))</f>
        <v>0</v>
      </c>
      <c r="I60" s="491"/>
    </row>
    <row r="61" spans="1:9" s="49" customFormat="1" ht="18" customHeight="1" x14ac:dyDescent="0.25">
      <c r="A61" s="47"/>
      <c r="B61" s="905" t="str">
        <f>IF('add on data access locations'!J19=0,"add-on location 14","DUNS: "&amp;'add on data access locations'!G19&amp;" / "&amp;'add on data access locations'!B19)</f>
        <v>add-on location 14</v>
      </c>
      <c r="C61" s="906" t="str">
        <f>IF('add on data access locations'!J19=0,"not filled in",'add on data access locations'!D19&amp;"; "&amp;'add on data access locations'!E19&amp;"; "&amp;'add on data access locations'!C19&amp;"; "&amp;'add on data access locations'!F19&amp;" / "&amp;'add on data access locations'!I19)</f>
        <v>not filled in</v>
      </c>
      <c r="D61" s="753" t="str">
        <f>IF('add on data access locations'!J19=1,IF('add on data access locations'!H19="data complete","","location information incomplete"),"")</f>
        <v/>
      </c>
      <c r="E61" s="491"/>
      <c r="F61" s="491"/>
      <c r="G61" s="491"/>
      <c r="H61" s="491">
        <f>IF(ISERROR(VLOOKUP(D61,Stammdaten!$G$2:$H$38,2,FALSE)),0,VLOOKUP(D61,Stammdaten!$G$2:$H$38,2,FALSE))</f>
        <v>0</v>
      </c>
      <c r="I61" s="491"/>
    </row>
    <row r="62" spans="1:9" s="49" customFormat="1" ht="18" customHeight="1" x14ac:dyDescent="0.25">
      <c r="A62" s="47"/>
      <c r="B62" s="905" t="str">
        <f>IF('add on data access locations'!J20=0,"add-on location 15","DUNS: "&amp;'add on data access locations'!G20&amp;" / "&amp;'add on data access locations'!B20)</f>
        <v>add-on location 15</v>
      </c>
      <c r="C62" s="906" t="str">
        <f>IF('add on data access locations'!J20=0,"not filled in",'add on data access locations'!D20&amp;"; "&amp;'add on data access locations'!E20&amp;"; "&amp;'add on data access locations'!C20&amp;"; "&amp;'add on data access locations'!F20&amp;" / "&amp;'add on data access locations'!I20)</f>
        <v>not filled in</v>
      </c>
      <c r="D62" s="753" t="str">
        <f>IF('add on data access locations'!J20=1,IF('add on data access locations'!H20="data complete","","location information incomplete"),"")</f>
        <v/>
      </c>
      <c r="E62" s="491"/>
      <c r="F62" s="491"/>
      <c r="G62" s="491"/>
      <c r="H62" s="491">
        <f>IF(ISERROR(VLOOKUP(D62,Stammdaten!$G$2:$H$38,2,FALSE)),0,VLOOKUP(D62,Stammdaten!$G$2:$H$38,2,FALSE))</f>
        <v>0</v>
      </c>
      <c r="I62" s="491"/>
    </row>
    <row r="63" spans="1:9" s="49" customFormat="1" ht="18" customHeight="1" x14ac:dyDescent="0.25">
      <c r="A63" s="47"/>
      <c r="B63" s="905" t="str">
        <f>IF('add on data access locations'!J21=0,"add-on location 16","DUNS: "&amp;'add on data access locations'!G21&amp;" / "&amp;'add on data access locations'!B21)</f>
        <v>add-on location 16</v>
      </c>
      <c r="C63" s="906" t="str">
        <f>IF('add on data access locations'!J21=0,"not filled in",'add on data access locations'!D21&amp;"; "&amp;'add on data access locations'!E21&amp;"; "&amp;'add on data access locations'!C21&amp;"; "&amp;'add on data access locations'!F21&amp;" / "&amp;'add on data access locations'!I21)</f>
        <v>not filled in</v>
      </c>
      <c r="D63" s="753" t="str">
        <f>IF('add on data access locations'!J21=1,IF('add on data access locations'!H21="data complete","","location information incomplete"),"")</f>
        <v/>
      </c>
      <c r="E63" s="491"/>
      <c r="F63" s="491"/>
      <c r="G63" s="491"/>
      <c r="H63" s="491">
        <f>IF(ISERROR(VLOOKUP(D63,Stammdaten!$G$2:$H$38,2,FALSE)),0,VLOOKUP(D63,Stammdaten!$G$2:$H$38,2,FALSE))</f>
        <v>0</v>
      </c>
      <c r="I63" s="491"/>
    </row>
    <row r="64" spans="1:9" s="49" customFormat="1" ht="18" customHeight="1" x14ac:dyDescent="0.25">
      <c r="A64" s="47"/>
      <c r="B64" s="905" t="str">
        <f>IF('add on data access locations'!J22=0,"add-on location 17","DUNS: "&amp;'add on data access locations'!G22&amp;" / "&amp;'add on data access locations'!B22)</f>
        <v>add-on location 17</v>
      </c>
      <c r="C64" s="906" t="str">
        <f>IF('add on data access locations'!J22=0,"not filled in",'add on data access locations'!D22&amp;"; "&amp;'add on data access locations'!E22&amp;"; "&amp;'add on data access locations'!C22&amp;"; "&amp;'add on data access locations'!F22&amp;" / "&amp;'add on data access locations'!I22)</f>
        <v>not filled in</v>
      </c>
      <c r="D64" s="753" t="str">
        <f>IF('add on data access locations'!J22=1,IF('add on data access locations'!H22="data complete","","location information incomplete"),"")</f>
        <v/>
      </c>
      <c r="E64" s="491"/>
      <c r="F64" s="491"/>
      <c r="G64" s="491"/>
      <c r="H64" s="491">
        <f>IF(ISERROR(VLOOKUP(D64,Stammdaten!$G$2:$H$38,2,FALSE)),0,VLOOKUP(D64,Stammdaten!$G$2:$H$38,2,FALSE))</f>
        <v>0</v>
      </c>
      <c r="I64" s="491"/>
    </row>
    <row r="65" spans="1:9" s="49" customFormat="1" ht="18" customHeight="1" x14ac:dyDescent="0.25">
      <c r="A65" s="47"/>
      <c r="B65" s="905" t="str">
        <f>IF('add on data access locations'!J23=0,"add-on location 18","DUNS: "&amp;'add on data access locations'!G23&amp;" / "&amp;'add on data access locations'!B23)</f>
        <v>add-on location 18</v>
      </c>
      <c r="C65" s="906" t="str">
        <f>IF('add on data access locations'!J23=0,"not filled in",'add on data access locations'!D23&amp;"; "&amp;'add on data access locations'!E23&amp;"; "&amp;'add on data access locations'!C23&amp;"; "&amp;'add on data access locations'!F23&amp;" / "&amp;'add on data access locations'!I23)</f>
        <v>not filled in</v>
      </c>
      <c r="D65" s="753" t="str">
        <f>IF('add on data access locations'!J23=1,IF('add on data access locations'!H23="data complete","","location information incomplete"),"")</f>
        <v/>
      </c>
      <c r="E65" s="491"/>
      <c r="F65" s="491"/>
      <c r="G65" s="491"/>
      <c r="H65" s="491">
        <f>IF(ISERROR(VLOOKUP(D65,Stammdaten!$G$2:$H$38,2,FALSE)),0,VLOOKUP(D65,Stammdaten!$G$2:$H$38,2,FALSE))</f>
        <v>0</v>
      </c>
      <c r="I65" s="491"/>
    </row>
    <row r="66" spans="1:9" s="49" customFormat="1" ht="18" customHeight="1" x14ac:dyDescent="0.25">
      <c r="A66" s="47"/>
      <c r="B66" s="905" t="str">
        <f>IF('add on data access locations'!J24=0,"add-on location 19","DUNS: "&amp;'add on data access locations'!G24&amp;" / "&amp;'add on data access locations'!B24)</f>
        <v>add-on location 19</v>
      </c>
      <c r="C66" s="906" t="str">
        <f>IF('add on data access locations'!J24=0,"not filled in",'add on data access locations'!D24&amp;"; "&amp;'add on data access locations'!E24&amp;"; "&amp;'add on data access locations'!C24&amp;"; "&amp;'add on data access locations'!F24&amp;" / "&amp;'add on data access locations'!I24)</f>
        <v>not filled in</v>
      </c>
      <c r="D66" s="753" t="str">
        <f>IF('add on data access locations'!J24=1,IF('add on data access locations'!H24="data complete","","location information incomplete"),"")</f>
        <v/>
      </c>
      <c r="E66" s="491"/>
      <c r="F66" s="491"/>
      <c r="G66" s="491"/>
      <c r="H66" s="491">
        <f>IF(ISERROR(VLOOKUP(D66,Stammdaten!$G$2:$H$38,2,FALSE)),0,VLOOKUP(D66,Stammdaten!$G$2:$H$38,2,FALSE))</f>
        <v>0</v>
      </c>
      <c r="I66" s="491"/>
    </row>
    <row r="67" spans="1:9" s="39" customFormat="1" ht="18" customHeight="1" x14ac:dyDescent="0.2">
      <c r="A67" s="44"/>
      <c r="B67" s="905" t="str">
        <f>IF('add on data access locations'!J25=0,"add-on location 20","DUNS: "&amp;'add on data access locations'!G25&amp;" / "&amp;'add on data access locations'!B25)</f>
        <v>add-on location 20</v>
      </c>
      <c r="C67" s="906" t="str">
        <f>IF('add on data access locations'!J25=0,"not filled in",'add on data access locations'!D25&amp;"; "&amp;'add on data access locations'!E25&amp;"; "&amp;'add on data access locations'!C25&amp;"; "&amp;'add on data access locations'!F25&amp;" / "&amp;'add on data access locations'!I25)</f>
        <v>not filled in</v>
      </c>
      <c r="D67" s="753" t="str">
        <f>IF('add on data access locations'!J25=1,IF('add on data access locations'!H25="data complete","","location information incomplete"),"")</f>
        <v/>
      </c>
      <c r="E67" s="490"/>
      <c r="F67" s="490"/>
      <c r="G67" s="490"/>
      <c r="H67" s="491">
        <f>IF(ISERROR(VLOOKUP(D67,Stammdaten!$G$2:$H$38,2,FALSE)),0,VLOOKUP(D67,Stammdaten!$G$2:$H$38,2,FALSE))</f>
        <v>0</v>
      </c>
      <c r="I67" s="490"/>
    </row>
    <row r="68" spans="1:9" s="39" customFormat="1" ht="42" customHeight="1" x14ac:dyDescent="0.2">
      <c r="A68" s="44"/>
      <c r="B68" s="907"/>
      <c r="C68" s="908"/>
      <c r="D68" s="668"/>
      <c r="E68" s="490"/>
      <c r="F68" s="490"/>
      <c r="G68" s="490"/>
      <c r="H68" s="490"/>
      <c r="I68" s="490"/>
    </row>
    <row r="69" spans="1:9" s="39" customFormat="1" ht="28.5" customHeight="1" x14ac:dyDescent="0.2">
      <c r="A69" s="57">
        <v>2</v>
      </c>
      <c r="B69" s="56" t="s">
        <v>882</v>
      </c>
      <c r="C69" s="58" t="s">
        <v>989</v>
      </c>
      <c r="D69" s="668"/>
      <c r="E69" s="490"/>
      <c r="F69" s="490"/>
      <c r="G69" s="490"/>
      <c r="H69" s="490">
        <f>IF(SUM(H70:H99)&gt;0,1,0)</f>
        <v>1</v>
      </c>
      <c r="I69" s="490"/>
    </row>
    <row r="70" spans="1:9" s="39" customFormat="1" ht="12.75" x14ac:dyDescent="0.2">
      <c r="A70" s="44"/>
      <c r="B70" s="37" t="s">
        <v>883</v>
      </c>
      <c r="C70" s="38"/>
      <c r="D70" s="668"/>
      <c r="E70" s="490"/>
      <c r="F70" s="490"/>
      <c r="G70" s="490"/>
      <c r="H70" s="490"/>
      <c r="I70" s="490"/>
    </row>
    <row r="71" spans="1:9" s="49" customFormat="1" ht="15" customHeight="1" x14ac:dyDescent="0.25">
      <c r="A71" s="47"/>
      <c r="B71" s="471" t="s">
        <v>839</v>
      </c>
      <c r="C71" s="468" t="str">
        <f>IF('contact persons'!C8="","not filled in",'contact persons'!C8)</f>
        <v>not filled in</v>
      </c>
      <c r="D71" s="670" t="str">
        <f>IF(C71="not filled in","entry mandatory","")</f>
        <v>entry mandatory</v>
      </c>
      <c r="E71" s="491"/>
      <c r="F71" s="491"/>
      <c r="G71" s="491"/>
      <c r="H71" s="491">
        <f>IF(ISERROR(VLOOKUP(D71,Stammdaten!$G$2:$H$35,2,FALSE)),0,VLOOKUP(D71,Stammdaten!$G$2:$H$35,2,FALSE))</f>
        <v>1</v>
      </c>
      <c r="I71" s="491"/>
    </row>
    <row r="72" spans="1:9" s="49" customFormat="1" ht="15" customHeight="1" x14ac:dyDescent="0.25">
      <c r="A72" s="47"/>
      <c r="B72" s="471" t="s">
        <v>817</v>
      </c>
      <c r="C72" s="468" t="str">
        <f>IF('contact persons'!C9="","not filled in",'contact persons'!C9)</f>
        <v>not filled in</v>
      </c>
      <c r="D72" s="670" t="str">
        <f>IF(C72="not filled in","entry mandatory","")</f>
        <v>entry mandatory</v>
      </c>
      <c r="E72" s="491"/>
      <c r="F72" s="491"/>
      <c r="G72" s="491"/>
      <c r="H72" s="491">
        <f>IF(ISERROR(VLOOKUP(D72,Stammdaten!$G$2:$H$35,2,FALSE)),0,VLOOKUP(D72,Stammdaten!$G$2:$H$35,2,FALSE))</f>
        <v>1</v>
      </c>
      <c r="I72" s="491"/>
    </row>
    <row r="73" spans="1:9" s="49" customFormat="1" ht="15" customHeight="1" x14ac:dyDescent="0.25">
      <c r="A73" s="47"/>
      <c r="B73" s="471" t="s">
        <v>818</v>
      </c>
      <c r="C73" s="468" t="str">
        <f>IF('contact persons'!C10="","not filled in",'contact persons'!C10)</f>
        <v>not filled in</v>
      </c>
      <c r="D73" s="670" t="str">
        <f>IF(C73="not filled in","entry mandatory","")</f>
        <v>entry mandatory</v>
      </c>
      <c r="E73" s="491"/>
      <c r="F73" s="491"/>
      <c r="G73" s="491"/>
      <c r="H73" s="491">
        <f>IF(ISERROR(VLOOKUP(D73,Stammdaten!$G$2:$H$35,2,FALSE)),0,VLOOKUP(D73,Stammdaten!$G$2:$H$35,2,FALSE))</f>
        <v>1</v>
      </c>
      <c r="I73" s="491"/>
    </row>
    <row r="74" spans="1:9" s="49" customFormat="1" ht="15" customHeight="1" x14ac:dyDescent="0.25">
      <c r="A74" s="47"/>
      <c r="B74" s="471" t="s">
        <v>819</v>
      </c>
      <c r="C74" s="468" t="str">
        <f>IF('contact persons'!C11="","not filled in",'contact persons'!C11)</f>
        <v>not filled in</v>
      </c>
      <c r="D74" s="670" t="str">
        <f>IF(C74="not filled in","entry mandatory","")</f>
        <v>entry mandatory</v>
      </c>
      <c r="E74" s="491"/>
      <c r="F74" s="491"/>
      <c r="G74" s="491"/>
      <c r="H74" s="491">
        <f>IF(ISERROR(VLOOKUP(D74,Stammdaten!$G$2:$H$35,2,FALSE)),0,VLOOKUP(D74,Stammdaten!$G$2:$H$35,2,FALSE))</f>
        <v>1</v>
      </c>
      <c r="I74" s="491"/>
    </row>
    <row r="75" spans="1:9" s="49" customFormat="1" ht="15" customHeight="1" x14ac:dyDescent="0.25">
      <c r="A75" s="47"/>
      <c r="B75" s="471" t="s">
        <v>820</v>
      </c>
      <c r="C75" s="468" t="str">
        <f>IF('contact persons'!C12="","not filled in",'contact persons'!C12)</f>
        <v>not filled in</v>
      </c>
      <c r="D75" s="670" t="str">
        <f>IF(C75="not filled in","entry mandatory",IF(Tabelle1!I13="ungültig","e-mail address incorrect",""))</f>
        <v>entry mandatory</v>
      </c>
      <c r="E75" s="491"/>
      <c r="F75" s="491"/>
      <c r="G75" s="491"/>
      <c r="H75" s="491">
        <f>IF(ISERROR(VLOOKUP(D75,Stammdaten!$G$2:$H$35,2,FALSE)),0,VLOOKUP(D75,Stammdaten!$G$2:$H$35,2,FALSE))</f>
        <v>1</v>
      </c>
      <c r="I75" s="491"/>
    </row>
    <row r="76" spans="1:9" s="49" customFormat="1" ht="15" customHeight="1" x14ac:dyDescent="0.25">
      <c r="A76" s="47"/>
      <c r="B76" s="471" t="s">
        <v>840</v>
      </c>
      <c r="C76" s="468" t="str">
        <f>IF('contact persons'!C13="","not filled in",'contact persons'!C13)</f>
        <v>not filled in</v>
      </c>
      <c r="D76" s="670"/>
      <c r="E76" s="491"/>
      <c r="F76" s="491"/>
      <c r="G76" s="491"/>
      <c r="H76" s="491">
        <f>IF(ISERROR(VLOOKUP(D76,Stammdaten!$G$2:$H$35,2,FALSE)),0,VLOOKUP(D76,Stammdaten!$G$2:$H$35,2,FALSE))</f>
        <v>0</v>
      </c>
      <c r="I76" s="491"/>
    </row>
    <row r="77" spans="1:9" s="39" customFormat="1" ht="7.5" customHeight="1" x14ac:dyDescent="0.2">
      <c r="A77" s="44"/>
      <c r="C77" s="38"/>
      <c r="D77" s="668"/>
      <c r="E77" s="490"/>
      <c r="F77" s="490"/>
      <c r="G77" s="490"/>
      <c r="H77" s="491">
        <f>IF(ISERROR(VLOOKUP(D77,Stammdaten!$G$2:$H$35,2,FALSE)),0,VLOOKUP(D77,Stammdaten!$G$2:$H$35,2,FALSE))</f>
        <v>0</v>
      </c>
      <c r="I77" s="490"/>
    </row>
    <row r="78" spans="1:9" s="39" customFormat="1" ht="12.75" customHeight="1" x14ac:dyDescent="0.2">
      <c r="A78" s="44"/>
      <c r="B78" s="37" t="s">
        <v>884</v>
      </c>
      <c r="C78" s="117" t="str">
        <f>IF('contact persons'!C9="","",IF('contact persons'!C17="","Note: contact for contract assumes the role",""))</f>
        <v/>
      </c>
      <c r="D78" s="668" t="str">
        <f>IF('contact persons'!B52="belegt",IF(COUNTBLANK('contact persons'!C16:C20)&gt;0,"contact data record (technique) incomplete",""),"")</f>
        <v/>
      </c>
      <c r="E78" s="490"/>
      <c r="F78" s="490"/>
      <c r="G78" s="490"/>
      <c r="H78" s="491">
        <f>IF(ISERROR(VLOOKUP(D78,Stammdaten!$G$2:$H$35,2,FALSE)),0,VLOOKUP(D78,Stammdaten!$G$2:$H$35,2,FALSE))</f>
        <v>0</v>
      </c>
      <c r="I78" s="490"/>
    </row>
    <row r="79" spans="1:9" s="49" customFormat="1" ht="15" customHeight="1" x14ac:dyDescent="0.25">
      <c r="A79" s="47"/>
      <c r="B79" s="471" t="s">
        <v>839</v>
      </c>
      <c r="C79" s="548" t="str">
        <f>IF('contact persons'!$B$52="nicht belegt",z_kontakt_anrede_vertrag,IF('contact persons'!C16=0,"not filled in",'contact persons'!C16))</f>
        <v>not filled in</v>
      </c>
      <c r="D79" s="670"/>
      <c r="E79" s="491"/>
      <c r="F79" s="491"/>
      <c r="G79" s="491"/>
      <c r="H79" s="491">
        <f>IF(ISERROR(VLOOKUP(D79,Stammdaten!$G$2:$H$35,2,FALSE)),0,VLOOKUP(D79,Stammdaten!$G$2:$H$35,2,FALSE))</f>
        <v>0</v>
      </c>
      <c r="I79" s="491"/>
    </row>
    <row r="80" spans="1:9" s="49" customFormat="1" ht="15" customHeight="1" x14ac:dyDescent="0.25">
      <c r="A80" s="47"/>
      <c r="B80" s="471" t="s">
        <v>817</v>
      </c>
      <c r="C80" s="548" t="str">
        <f>IF('contact persons'!$B$52="nicht belegt",z_kontakt_name_vertrag,IF('contact persons'!C17=0,"not filled in",'contact persons'!C17))</f>
        <v>not filled in</v>
      </c>
      <c r="D80" s="670"/>
      <c r="E80" s="491"/>
      <c r="F80" s="491"/>
      <c r="G80" s="491"/>
      <c r="H80" s="491">
        <f>IF(ISERROR(VLOOKUP(D80,Stammdaten!$G$2:$H$35,2,FALSE)),0,VLOOKUP(D80,Stammdaten!$G$2:$H$35,2,FALSE))</f>
        <v>0</v>
      </c>
      <c r="I80" s="491"/>
    </row>
    <row r="81" spans="1:9" s="49" customFormat="1" ht="15" customHeight="1" x14ac:dyDescent="0.25">
      <c r="A81" s="47"/>
      <c r="B81" s="471" t="s">
        <v>818</v>
      </c>
      <c r="C81" s="548" t="str">
        <f>IF('contact persons'!$B$52="nicht belegt",z_kontakt_vorname_vertrag,IF('contact persons'!C18=0,"not filled in",'contact persons'!C18))</f>
        <v>not filled in</v>
      </c>
      <c r="D81" s="670"/>
      <c r="E81" s="491"/>
      <c r="F81" s="491"/>
      <c r="G81" s="491"/>
      <c r="H81" s="491">
        <f>IF(ISERROR(VLOOKUP(D81,Stammdaten!$G$2:$H$35,2,FALSE)),0,VLOOKUP(D81,Stammdaten!$G$2:$H$35,2,FALSE))</f>
        <v>0</v>
      </c>
      <c r="I81" s="491"/>
    </row>
    <row r="82" spans="1:9" s="49" customFormat="1" ht="15" customHeight="1" x14ac:dyDescent="0.25">
      <c r="A82" s="47"/>
      <c r="B82" s="471" t="s">
        <v>819</v>
      </c>
      <c r="C82" s="548" t="str">
        <f>IF('contact persons'!$B$52="nicht belegt",z_kontakt_telefon_vertrag,IF('contact persons'!C19=0,"not filled in",'contact persons'!C19))</f>
        <v>not filled in</v>
      </c>
      <c r="D82" s="670"/>
      <c r="E82" s="491"/>
      <c r="F82" s="491"/>
      <c r="G82" s="491"/>
      <c r="H82" s="491">
        <f>IF(ISERROR(VLOOKUP(D82,Stammdaten!$G$2:$H$35,2,FALSE)),0,VLOOKUP(D82,Stammdaten!$G$2:$H$35,2,FALSE))</f>
        <v>0</v>
      </c>
      <c r="I82" s="491"/>
    </row>
    <row r="83" spans="1:9" s="49" customFormat="1" ht="15" customHeight="1" x14ac:dyDescent="0.25">
      <c r="A83" s="47"/>
      <c r="B83" s="471" t="s">
        <v>820</v>
      </c>
      <c r="C83" s="548" t="str">
        <f>IF('contact persons'!$B$52="nicht belegt",z_kontakt_email_vertrag,IF('contact persons'!C20=0,"not filled in",'contact persons'!C20))</f>
        <v>not filled in</v>
      </c>
      <c r="D83" s="670" t="str">
        <f>IF(Tabelle1!J13="ungültig","e-mail address incorrect","")</f>
        <v/>
      </c>
      <c r="E83" s="491"/>
      <c r="F83" s="491"/>
      <c r="G83" s="491"/>
      <c r="H83" s="491">
        <f>IF(ISERROR(VLOOKUP(D83,Stammdaten!$G$2:$H$35,2,FALSE)),0,VLOOKUP(D83,Stammdaten!$G$2:$H$35,2,FALSE))</f>
        <v>0</v>
      </c>
      <c r="I83" s="491"/>
    </row>
    <row r="84" spans="1:9" s="49" customFormat="1" ht="15" customHeight="1" x14ac:dyDescent="0.25">
      <c r="A84" s="47"/>
      <c r="B84" s="471" t="s">
        <v>840</v>
      </c>
      <c r="C84" s="548" t="str">
        <f>IF('contact persons'!$B$52="nicht belegt",z_kontakt_mobiltelefon_vertrag,IF('contact persons'!C21=0,"not filled in",'contact persons'!C21))</f>
        <v>not filled in</v>
      </c>
      <c r="D84" s="670"/>
      <c r="E84" s="491"/>
      <c r="F84" s="491"/>
      <c r="G84" s="491"/>
      <c r="H84" s="491">
        <f>IF(ISERROR(VLOOKUP(D84,Stammdaten!$G$2:$H$35,2,FALSE)),0,VLOOKUP(D84,Stammdaten!$G$2:$H$35,2,FALSE))</f>
        <v>0</v>
      </c>
      <c r="I84" s="491"/>
    </row>
    <row r="85" spans="1:9" s="39" customFormat="1" ht="5.25" customHeight="1" x14ac:dyDescent="0.2">
      <c r="A85" s="44"/>
      <c r="C85" s="116"/>
      <c r="D85" s="668"/>
      <c r="E85" s="490"/>
      <c r="F85" s="490"/>
      <c r="G85" s="490"/>
      <c r="H85" s="491">
        <f>IF(ISERROR(VLOOKUP(D85,Stammdaten!$G$2:$H$35,2,FALSE)),0,VLOOKUP(D85,Stammdaten!$G$2:$H$35,2,FALSE))</f>
        <v>0</v>
      </c>
      <c r="I85" s="490"/>
    </row>
    <row r="86" spans="1:9" s="39" customFormat="1" ht="12.75" x14ac:dyDescent="0.2">
      <c r="A86" s="44"/>
      <c r="B86" s="37" t="s">
        <v>885</v>
      </c>
      <c r="C86" s="117" t="str">
        <f>IF('contact persons'!C9="","",IF('contact persons'!C25="","Note: contact for contract assumes the role",""))</f>
        <v/>
      </c>
      <c r="D86" s="671" t="str">
        <f>IF('contact persons'!B54="belegt",IF(COUNTBLANK('contact persons'!AP_Rechnung)&gt;0,"contact data record (invoice) incomplete",""),"")</f>
        <v/>
      </c>
      <c r="E86" s="490"/>
      <c r="F86" s="490"/>
      <c r="G86" s="490"/>
      <c r="H86" s="491">
        <f>IF(ISERROR(VLOOKUP(D86,Stammdaten!$G$2:$H$35,2,FALSE)),0,VLOOKUP(D86,Stammdaten!$G$2:$H$35,2,FALSE))</f>
        <v>0</v>
      </c>
      <c r="I86" s="490"/>
    </row>
    <row r="87" spans="1:9" s="49" customFormat="1" ht="14.25" customHeight="1" x14ac:dyDescent="0.25">
      <c r="A87" s="47"/>
      <c r="B87" s="471" t="s">
        <v>839</v>
      </c>
      <c r="C87" s="115" t="str">
        <f>IF('contact persons'!C25="",z_kontakt_anrede_vertrag,'contact persons'!C25)</f>
        <v>not filled in</v>
      </c>
      <c r="D87" s="670"/>
      <c r="E87" s="491"/>
      <c r="F87" s="491"/>
      <c r="G87" s="491"/>
      <c r="H87" s="491">
        <f>IF(ISERROR(VLOOKUP(D87,Stammdaten!$G$2:$H$35,2,FALSE)),0,VLOOKUP(D87,Stammdaten!$G$2:$H$35,2,FALSE))</f>
        <v>0</v>
      </c>
      <c r="I87" s="491"/>
    </row>
    <row r="88" spans="1:9" s="49" customFormat="1" ht="14.25" customHeight="1" x14ac:dyDescent="0.25">
      <c r="A88" s="47"/>
      <c r="B88" s="471" t="s">
        <v>817</v>
      </c>
      <c r="C88" s="115" t="str">
        <f>IF('contact persons'!C26="",z_kontakt_name_vertrag,'contact persons'!C26)</f>
        <v>not filled in</v>
      </c>
      <c r="D88" s="670"/>
      <c r="E88" s="491"/>
      <c r="F88" s="491"/>
      <c r="G88" s="491"/>
      <c r="H88" s="491">
        <f>IF(ISERROR(VLOOKUP(D88,Stammdaten!$G$2:$H$35,2,FALSE)),0,VLOOKUP(D88,Stammdaten!$G$2:$H$35,2,FALSE))</f>
        <v>0</v>
      </c>
      <c r="I88" s="491"/>
    </row>
    <row r="89" spans="1:9" s="49" customFormat="1" ht="14.25" customHeight="1" x14ac:dyDescent="0.25">
      <c r="A89" s="47"/>
      <c r="B89" s="471" t="s">
        <v>818</v>
      </c>
      <c r="C89" s="115" t="str">
        <f>IF('contact persons'!C27="",z_kontakt_vorname_vertrag,'contact persons'!C27)</f>
        <v>not filled in</v>
      </c>
      <c r="D89" s="670"/>
      <c r="E89" s="491"/>
      <c r="F89" s="491"/>
      <c r="G89" s="491"/>
      <c r="H89" s="491">
        <f>IF(ISERROR(VLOOKUP(D89,Stammdaten!$G$2:$H$35,2,FALSE)),0,VLOOKUP(D89,Stammdaten!$G$2:$H$35,2,FALSE))</f>
        <v>0</v>
      </c>
      <c r="I89" s="491"/>
    </row>
    <row r="90" spans="1:9" s="49" customFormat="1" ht="14.25" customHeight="1" x14ac:dyDescent="0.25">
      <c r="A90" s="47"/>
      <c r="B90" s="471" t="s">
        <v>819</v>
      </c>
      <c r="C90" s="115" t="str">
        <f>IF('contact persons'!C28="",z_kontakt_telefon_vertrag,'contact persons'!C28)</f>
        <v>not filled in</v>
      </c>
      <c r="D90" s="670"/>
      <c r="E90" s="491"/>
      <c r="F90" s="491"/>
      <c r="G90" s="491"/>
      <c r="H90" s="491">
        <f>IF(ISERROR(VLOOKUP(D90,Stammdaten!$G$2:$H$35,2,FALSE)),0,VLOOKUP(D90,Stammdaten!$G$2:$H$35,2,FALSE))</f>
        <v>0</v>
      </c>
      <c r="I90" s="491"/>
    </row>
    <row r="91" spans="1:9" s="49" customFormat="1" ht="14.25" customHeight="1" x14ac:dyDescent="0.25">
      <c r="A91" s="47"/>
      <c r="B91" s="471" t="s">
        <v>820</v>
      </c>
      <c r="C91" s="115" t="str">
        <f>IF('contact persons'!C29="",z_kontakt_email_vertrag,'contact persons'!C29)</f>
        <v>not filled in</v>
      </c>
      <c r="D91" s="670" t="str">
        <f>IF(Tabelle1!K13="ungültig","e-mail address incorrect","")</f>
        <v/>
      </c>
      <c r="E91" s="491"/>
      <c r="F91" s="491"/>
      <c r="G91" s="491"/>
      <c r="H91" s="491">
        <f>IF(ISERROR(VLOOKUP(D91,Stammdaten!$G$2:$H$35,2,FALSE)),0,VLOOKUP(D91,Stammdaten!$G$2:$H$35,2,FALSE))</f>
        <v>0</v>
      </c>
      <c r="I91" s="491"/>
    </row>
    <row r="92" spans="1:9" s="49" customFormat="1" ht="14.25" customHeight="1" x14ac:dyDescent="0.25">
      <c r="A92" s="47"/>
      <c r="B92" s="471" t="s">
        <v>840</v>
      </c>
      <c r="C92" s="115" t="str">
        <f>IF('contact persons'!C30="",z_kontakt_mobiltelefon_vertrag,'contact persons'!C30)</f>
        <v>not filled in</v>
      </c>
      <c r="D92" s="670"/>
      <c r="E92" s="491"/>
      <c r="F92" s="491"/>
      <c r="G92" s="491"/>
      <c r="H92" s="491">
        <f>IF(ISERROR(VLOOKUP(D92,Stammdaten!$G$2:$H$35,2,FALSE)),0,VLOOKUP(D92,Stammdaten!$G$2:$H$35,2,FALSE))</f>
        <v>0</v>
      </c>
      <c r="I92" s="491"/>
    </row>
    <row r="93" spans="1:9" s="39" customFormat="1" ht="4.5" customHeight="1" x14ac:dyDescent="0.2">
      <c r="A93" s="44"/>
      <c r="C93" s="38"/>
      <c r="D93" s="668"/>
      <c r="E93" s="490"/>
      <c r="F93" s="490"/>
      <c r="G93" s="490"/>
      <c r="H93" s="491">
        <f>IF(ISERROR(VLOOKUP(D93,Stammdaten!$G$2:$H$35,2,FALSE)),0,VLOOKUP(D93,Stammdaten!$G$2:$H$35,2,FALSE))</f>
        <v>0</v>
      </c>
      <c r="I93" s="490"/>
    </row>
    <row r="94" spans="1:9" s="39" customFormat="1" ht="13.5" customHeight="1" x14ac:dyDescent="0.2">
      <c r="A94" s="44"/>
      <c r="B94" s="1062" t="s">
        <v>886</v>
      </c>
      <c r="C94" s="1062"/>
      <c r="D94" s="668"/>
      <c r="E94" s="490"/>
      <c r="F94" s="490"/>
      <c r="G94" s="490"/>
      <c r="H94" s="491">
        <f>IF(ISERROR(VLOOKUP(D94,Stammdaten!$G$2:$H$35,2,FALSE)),0,VLOOKUP(D94,Stammdaten!$G$2:$H$35,2,FALSE))</f>
        <v>0</v>
      </c>
      <c r="I94" s="490"/>
    </row>
    <row r="95" spans="1:9" s="49" customFormat="1" ht="14.25" customHeight="1" x14ac:dyDescent="0.25">
      <c r="A95" s="47"/>
      <c r="B95" s="471" t="s">
        <v>839</v>
      </c>
      <c r="C95" s="468" t="str">
        <f>IF('contact persons'!C33="","not filled in",'contact persons'!C33)</f>
        <v>not filled in</v>
      </c>
      <c r="D95" s="670"/>
      <c r="E95" s="491"/>
      <c r="F95" s="491"/>
      <c r="G95" s="491"/>
      <c r="H95" s="491">
        <f>IF(ISERROR(VLOOKUP(D95,Stammdaten!$G$2:$H$35,2,FALSE)),0,VLOOKUP(D95,Stammdaten!$G$2:$H$35,2,FALSE))</f>
        <v>0</v>
      </c>
      <c r="I95" s="491"/>
    </row>
    <row r="96" spans="1:9" s="49" customFormat="1" ht="14.25" customHeight="1" x14ac:dyDescent="0.25">
      <c r="A96" s="47"/>
      <c r="B96" s="471" t="s">
        <v>817</v>
      </c>
      <c r="C96" s="468" t="str">
        <f>IF('contact persons'!C34="","not filled in",'contact persons'!C34)</f>
        <v>not filled in</v>
      </c>
      <c r="D96" s="670"/>
      <c r="E96" s="491"/>
      <c r="F96" s="491"/>
      <c r="G96" s="491"/>
      <c r="H96" s="491">
        <f>IF(ISERROR(VLOOKUP(D96,Stammdaten!$G$2:$H$35,2,FALSE)),0,VLOOKUP(D96,Stammdaten!$G$2:$H$35,2,FALSE))</f>
        <v>0</v>
      </c>
      <c r="I96" s="491"/>
    </row>
    <row r="97" spans="1:9" s="49" customFormat="1" ht="14.25" customHeight="1" x14ac:dyDescent="0.25">
      <c r="A97" s="47"/>
      <c r="B97" s="471" t="s">
        <v>818</v>
      </c>
      <c r="C97" s="468" t="str">
        <f>IF('contact persons'!C35="","not filled in",'contact persons'!C35)</f>
        <v>not filled in</v>
      </c>
      <c r="D97" s="670"/>
      <c r="E97" s="491"/>
      <c r="F97" s="491"/>
      <c r="G97" s="491"/>
      <c r="H97" s="491">
        <f>IF(ISERROR(VLOOKUP(D97,Stammdaten!$G$2:$H$35,2,FALSE)),0,VLOOKUP(D97,Stammdaten!$G$2:$H$35,2,FALSE))</f>
        <v>0</v>
      </c>
      <c r="I97" s="491"/>
    </row>
    <row r="98" spans="1:9" s="49" customFormat="1" ht="14.25" customHeight="1" x14ac:dyDescent="0.25">
      <c r="A98" s="47"/>
      <c r="B98" s="471" t="s">
        <v>819</v>
      </c>
      <c r="C98" s="468" t="str">
        <f>IF('contact persons'!C36="","not filled in",'contact persons'!C36)</f>
        <v>not filled in</v>
      </c>
      <c r="D98" s="670"/>
      <c r="E98" s="491"/>
      <c r="F98" s="491"/>
      <c r="G98" s="491"/>
      <c r="H98" s="491">
        <f>IF(ISERROR(VLOOKUP(D98,Stammdaten!$G$2:$H$35,2,FALSE)),0,VLOOKUP(D98,Stammdaten!$G$2:$H$35,2,FALSE))</f>
        <v>0</v>
      </c>
      <c r="I98" s="491"/>
    </row>
    <row r="99" spans="1:9" s="49" customFormat="1" ht="14.25" customHeight="1" x14ac:dyDescent="0.25">
      <c r="A99" s="47"/>
      <c r="B99" s="471" t="s">
        <v>820</v>
      </c>
      <c r="C99" s="468" t="str">
        <f>IF('contact persons'!C37="","not filled in",'contact persons'!C37)</f>
        <v>not filled in</v>
      </c>
      <c r="D99" s="670" t="str">
        <f>IF(Tabelle1!L13="ungültig","e-mail address incorrect","")</f>
        <v/>
      </c>
      <c r="E99" s="491"/>
      <c r="F99" s="491"/>
      <c r="G99" s="491"/>
      <c r="H99" s="491">
        <f>IF(ISERROR(VLOOKUP(D99,Stammdaten!$G$2:$H$35,2,FALSE)),0,VLOOKUP(D99,Stammdaten!$G$2:$H$35,2,FALSE))</f>
        <v>0</v>
      </c>
      <c r="I99" s="491"/>
    </row>
    <row r="100" spans="1:9" s="39" customFormat="1" ht="37.5" customHeight="1" x14ac:dyDescent="0.2">
      <c r="A100" s="44"/>
      <c r="C100" s="38"/>
      <c r="D100" s="668"/>
      <c r="E100" s="490"/>
      <c r="F100" s="490"/>
      <c r="G100" s="490"/>
      <c r="H100" s="491"/>
      <c r="I100" s="490"/>
    </row>
    <row r="101" spans="1:9" s="39" customFormat="1" ht="36" customHeight="1" x14ac:dyDescent="0.2">
      <c r="A101" s="57">
        <v>3</v>
      </c>
      <c r="B101" s="56" t="s">
        <v>887</v>
      </c>
      <c r="C101" s="58" t="s">
        <v>989</v>
      </c>
      <c r="D101" s="668" t="str">
        <f>IF(applications!$O$8=0,"select at least one brand",IF(applications!$O$12=1,"selection of brand 1 is pending",IF(applications!$O$11=1,"selection of applications for brand 1 is pending",IF(applications!$O$13=1,"applications for brand 1 are already selected - nomination of brand is missing",IF(SUM(applications!B104:B105)&gt;0,"SimplX is not required if KVS is used, also cross-brand","")))))</f>
        <v>select at least one brand</v>
      </c>
      <c r="E101" s="490">
        <f>IF($C$104="x",1,IF($C$126="x",2,0))</f>
        <v>0</v>
      </c>
      <c r="F101" s="490"/>
      <c r="G101" s="490"/>
      <c r="H101" s="491">
        <f>IF(ISERROR(VLOOKUP(D101,Stammdaten!$G$2:$H$35,2,FALSE)),0,VLOOKUP(D101,Stammdaten!$G$2:$H$35,2,FALSE))</f>
        <v>1</v>
      </c>
      <c r="I101" s="490">
        <f>IF(SUM(H101:H158)&gt;0,1,0)</f>
        <v>1</v>
      </c>
    </row>
    <row r="102" spans="1:9" s="39" customFormat="1" ht="37.5" customHeight="1" x14ac:dyDescent="0.2">
      <c r="A102" s="45"/>
      <c r="B102" s="37" t="str">
        <f>applications!A10</f>
        <v>application/connection types</v>
      </c>
      <c r="C102" s="69" t="str">
        <f>"Brand: "&amp;applications!C6</f>
        <v xml:space="preserve">Brand: </v>
      </c>
      <c r="D102" s="672" t="str">
        <f>IF(COUNTBLANK($C$10:$C$11)=1,IF($C$10="","Nomination of brand 1 is pending",""),IF(COUNTBLANK(C10:C11)=2,"Select at least one brand",IF(applications!$C$6&lt;&gt;"",IF(COUNTBLANK(applications!$B$11:$B$28)=18,"Selection of applications for brand 1 is pending",""),"")))</f>
        <v/>
      </c>
      <c r="E102" s="490" t="s">
        <v>916</v>
      </c>
      <c r="F102" s="490" t="str">
        <f>IF(z_markeeins_marke="Brand: Audi","A",IF(z_markeeins_marke="Brand: VW","V",IF(z_markeeins_marke="Brand: Skoda","SK",IF(z_markeeins_marke="Brand: Bugatti","B","O"))))</f>
        <v>O</v>
      </c>
      <c r="G102" s="490"/>
      <c r="H102" s="491">
        <f>IF(ISERROR(VLOOKUP(D102,Stammdaten!$G$2:$H$35,2,FALSE)),0,VLOOKUP(D102,Stammdaten!$G$2:$H$35,2,FALSE))</f>
        <v>0</v>
      </c>
      <c r="I102" s="490"/>
    </row>
    <row r="103" spans="1:9" s="49" customFormat="1" ht="39.75" customHeight="1" x14ac:dyDescent="0.25">
      <c r="A103" s="50">
        <f>IF(C103="nicht befüllt",0,1)</f>
        <v>1</v>
      </c>
      <c r="B103" s="51" t="s">
        <v>2</v>
      </c>
      <c r="C103" s="52" t="str">
        <f>IF(applications!B11="","not filled in",applications!B11)</f>
        <v>not filled in</v>
      </c>
      <c r="D103" s="903" t="str">
        <f>IF(applications!B51=2,"Recommendation of Audi Methodenkommunikation has not yet been fulfilled - request for implementation access Audi Mynet is pending","")</f>
        <v/>
      </c>
      <c r="E103" s="492"/>
      <c r="F103" s="492"/>
      <c r="G103" s="492"/>
      <c r="H103" s="491">
        <f>IF(ISERROR(VLOOKUP(D103,Stammdaten!$G$2:$H$35,2,FALSE)),0,VLOOKUP(D103,Stammdaten!$G$2:$H$35,2,FALSE))</f>
        <v>0</v>
      </c>
      <c r="I103" s="491"/>
    </row>
    <row r="104" spans="1:9" s="49" customFormat="1" ht="43.5" customHeight="1" x14ac:dyDescent="0.25">
      <c r="A104" s="50">
        <f t="shared" ref="A104:A140" si="1">IF(C104="nicht befüllt",0,1)</f>
        <v>1</v>
      </c>
      <c r="B104" s="51" t="s">
        <v>3</v>
      </c>
      <c r="C104" s="52" t="str">
        <f>IF(applications!B12="","not filled in",applications!B12)</f>
        <v>not filled in</v>
      </c>
      <c r="D104" s="903" t="str">
        <f>IF(applications!B46=2,"Recommendation of Audi Methodenkommunikation has not yet been fulfilled - request for implementation access Audi Mynet is pending","")</f>
        <v/>
      </c>
      <c r="E104" s="493"/>
      <c r="F104" s="493"/>
      <c r="G104" s="493"/>
      <c r="H104" s="491">
        <f>IF(ISERROR(VLOOKUP(D104,Stammdaten!$G$2:$H$35,2,FALSE)),0,VLOOKUP(D104,Stammdaten!$G$2:$H$35,2,FALSE))</f>
        <v>0</v>
      </c>
      <c r="I104" s="491"/>
    </row>
    <row r="105" spans="1:9" s="49" customFormat="1" ht="27" customHeight="1" x14ac:dyDescent="0.25">
      <c r="A105" s="50">
        <f t="shared" si="1"/>
        <v>1</v>
      </c>
      <c r="B105" s="51" t="s">
        <v>4</v>
      </c>
      <c r="C105" s="52" t="str">
        <f>IF(applications!B13="","not filled in",applications!B13)</f>
        <v>not filled in</v>
      </c>
      <c r="D105" s="667"/>
      <c r="E105" s="491"/>
      <c r="F105" s="491"/>
      <c r="G105" s="491"/>
      <c r="H105" s="491">
        <f>IF(ISERROR(VLOOKUP(D105,Stammdaten!$G$2:$H$35,2,FALSE)),0,VLOOKUP(D105,Stammdaten!$G$2:$H$35,2,FALSE))</f>
        <v>0</v>
      </c>
      <c r="I105" s="491"/>
    </row>
    <row r="106" spans="1:9" s="49" customFormat="1" ht="27" customHeight="1" x14ac:dyDescent="0.25">
      <c r="A106" s="50">
        <f t="shared" si="1"/>
        <v>1</v>
      </c>
      <c r="B106" s="51" t="s">
        <v>7</v>
      </c>
      <c r="C106" s="52" t="str">
        <f>IF(applications!B14="","not filled in",applications!B14)</f>
        <v>not filled in</v>
      </c>
      <c r="D106" s="667"/>
      <c r="E106" s="491"/>
      <c r="F106" s="491"/>
      <c r="G106" s="491"/>
      <c r="H106" s="491">
        <f>IF(ISERROR(VLOOKUP(D106,Stammdaten!$G$2:$H$35,2,FALSE)),0,VLOOKUP(D106,Stammdaten!$G$2:$H$35,2,FALSE))</f>
        <v>0</v>
      </c>
      <c r="I106" s="491"/>
    </row>
    <row r="107" spans="1:9" s="49" customFormat="1" ht="27" customHeight="1" x14ac:dyDescent="0.25">
      <c r="A107" s="50">
        <f t="shared" si="1"/>
        <v>1</v>
      </c>
      <c r="B107" s="51" t="s">
        <v>689</v>
      </c>
      <c r="C107" s="52" t="str">
        <f>IF(applications!B15="","not filled in",applications!B15)</f>
        <v>not filled in</v>
      </c>
      <c r="D107" s="667"/>
      <c r="E107" s="491"/>
      <c r="F107" s="491"/>
      <c r="G107" s="491"/>
      <c r="H107" s="491">
        <f>IF(ISERROR(VLOOKUP(D107,Stammdaten!$G$2:$H$35,2,FALSE)),0,VLOOKUP(D107,Stammdaten!$G$2:$H$35,2,FALSE))</f>
        <v>0</v>
      </c>
      <c r="I107" s="491"/>
    </row>
    <row r="108" spans="1:9" s="49" customFormat="1" ht="27" hidden="1" customHeight="1" x14ac:dyDescent="0.25">
      <c r="A108" s="50">
        <f t="shared" si="1"/>
        <v>1</v>
      </c>
      <c r="B108" s="51" t="s">
        <v>690</v>
      </c>
      <c r="C108" s="52" t="str">
        <f>IF(applications!B16="","not filled in",applications!B16)</f>
        <v>not filled in</v>
      </c>
      <c r="D108" s="667"/>
      <c r="E108" s="491"/>
      <c r="F108" s="491"/>
      <c r="G108" s="491"/>
      <c r="H108" s="491">
        <f>IF(ISERROR(VLOOKUP(D108,Stammdaten!$G$2:$H$35,2,FALSE)),0,VLOOKUP(D108,Stammdaten!$G$2:$H$35,2,FALSE))</f>
        <v>0</v>
      </c>
      <c r="I108" s="491"/>
    </row>
    <row r="109" spans="1:9" s="49" customFormat="1" ht="27" customHeight="1" x14ac:dyDescent="0.25">
      <c r="A109" s="50">
        <f t="shared" si="1"/>
        <v>1</v>
      </c>
      <c r="B109" s="51" t="s">
        <v>709</v>
      </c>
      <c r="C109" s="52" t="str">
        <f>IF(applications!B17="","not filled in",applications!B17)</f>
        <v>not filled in</v>
      </c>
      <c r="D109" s="667"/>
      <c r="E109" s="491"/>
      <c r="F109" s="491"/>
      <c r="G109" s="491"/>
      <c r="H109" s="491">
        <f>IF(ISERROR(VLOOKUP(D109,Stammdaten!$G$2:$H$35,2,FALSE)),0,VLOOKUP(D109,Stammdaten!$G$2:$H$35,2,FALSE))</f>
        <v>0</v>
      </c>
      <c r="I109" s="491"/>
    </row>
    <row r="110" spans="1:9" s="49" customFormat="1" ht="27" customHeight="1" x14ac:dyDescent="0.25">
      <c r="A110" s="50">
        <f t="shared" si="1"/>
        <v>1</v>
      </c>
      <c r="B110" s="51" t="s">
        <v>832</v>
      </c>
      <c r="C110" s="52" t="str">
        <f>IF(applications!B18="","not filled in",applications!B18)</f>
        <v>not filled in</v>
      </c>
      <c r="D110" s="667" t="str">
        <f>IF($F$102="O",IF(z_markeeins_oftp="x","service not available for the selected brand",""),"")</f>
        <v/>
      </c>
      <c r="E110" s="491"/>
      <c r="F110" s="491"/>
      <c r="G110" s="491"/>
      <c r="H110" s="491">
        <f>IF(ISERROR(VLOOKUP(D110,Stammdaten!$G$2:$H$35,2,FALSE)),0,VLOOKUP(D110,Stammdaten!$G$2:$H$35,2,FALSE))</f>
        <v>0</v>
      </c>
      <c r="I110" s="491"/>
    </row>
    <row r="111" spans="1:9" s="49" customFormat="1" ht="27" customHeight="1" x14ac:dyDescent="0.25">
      <c r="A111" s="50">
        <f t="shared" si="1"/>
        <v>1</v>
      </c>
      <c r="B111" s="51" t="s">
        <v>9</v>
      </c>
      <c r="C111" s="52" t="str">
        <f>IF(applications!B19="","not filled in",applications!B19)</f>
        <v>not filled in</v>
      </c>
      <c r="D111" s="667" t="str">
        <f>applications!B92</f>
        <v xml:space="preserve">
</v>
      </c>
      <c r="E111" s="491"/>
      <c r="F111" s="491"/>
      <c r="G111" s="491"/>
      <c r="H111" s="491">
        <f>IF(ISERROR(VLOOKUP(D111,Stammdaten!$G$2:$H$35,2,FALSE)),0,VLOOKUP(D111,Stammdaten!$G$2:$H$35,2,FALSE))</f>
        <v>0</v>
      </c>
      <c r="I111" s="491"/>
    </row>
    <row r="112" spans="1:9" s="49" customFormat="1" ht="27" customHeight="1" x14ac:dyDescent="0.25">
      <c r="A112" s="50">
        <f t="shared" si="1"/>
        <v>1</v>
      </c>
      <c r="B112" s="463" t="s">
        <v>833</v>
      </c>
      <c r="C112" s="52" t="str">
        <f>IF(applications!B20="","not filled in",applications!B20)</f>
        <v>not filled in</v>
      </c>
      <c r="D112" s="667" t="str">
        <f>IF($F$102&lt;&gt;"A",IF(z_markeeins_dmzlaufwerk="x","service not available for the selected brand",""),"")</f>
        <v/>
      </c>
      <c r="E112" s="491"/>
      <c r="F112" s="491"/>
      <c r="G112" s="491"/>
      <c r="H112" s="491">
        <f>IF(ISERROR(VLOOKUP(D112,Stammdaten!$G$2:$H$35,2,FALSE)),0,VLOOKUP(D112,Stammdaten!$G$2:$H$35,2,FALSE))</f>
        <v>0</v>
      </c>
      <c r="I112" s="491"/>
    </row>
    <row r="113" spans="1:9" s="49" customFormat="1" ht="27" customHeight="1" x14ac:dyDescent="0.25">
      <c r="A113" s="50">
        <f t="shared" si="1"/>
        <v>1</v>
      </c>
      <c r="B113" s="51" t="s">
        <v>1025</v>
      </c>
      <c r="C113" s="52" t="str">
        <f>IF(applications!B46=2,IF(applications!B21="","filling is pending",applications!B21),(IF(applications!B21="","not filled in",applications!B21)))</f>
        <v>not filled in</v>
      </c>
      <c r="D113" s="667" t="str">
        <f>IF(C113="filling is pending","entry desired",IF($F$102&lt;&gt;"A",IF(z_markeeins_mynet="x","service not available for the selected brand",""),""))</f>
        <v/>
      </c>
      <c r="E113" s="491"/>
      <c r="F113" s="491"/>
      <c r="G113" s="491"/>
      <c r="H113" s="491">
        <f>IF(ISERROR(VLOOKUP(D113,Stammdaten!$G$2:$H$35,2,FALSE)),0,VLOOKUP(D113,Stammdaten!$G$2:$H$35,2,FALSE))</f>
        <v>0</v>
      </c>
      <c r="I113" s="491"/>
    </row>
    <row r="114" spans="1:9" s="49" customFormat="1" ht="27" customHeight="1" x14ac:dyDescent="0.25">
      <c r="A114" s="50">
        <f t="shared" si="1"/>
        <v>1</v>
      </c>
      <c r="B114" s="51" t="s">
        <v>834</v>
      </c>
      <c r="C114" s="52" t="str">
        <f>IF(applications!B22="","not filled in",applications!B22)</f>
        <v>not filled in</v>
      </c>
      <c r="D114" s="667"/>
      <c r="E114" s="491"/>
      <c r="F114" s="491"/>
      <c r="G114" s="491"/>
      <c r="H114" s="491">
        <f>IF(ISERROR(VLOOKUP(D114,Stammdaten!$G$2:$H$35,2,FALSE)),0,VLOOKUP(D114,Stammdaten!$G$2:$H$35,2,FALSE))</f>
        <v>0</v>
      </c>
      <c r="I114" s="491"/>
    </row>
    <row r="115" spans="1:9" s="49" customFormat="1" ht="27" hidden="1" customHeight="1" x14ac:dyDescent="0.25">
      <c r="A115" s="50"/>
      <c r="B115" s="51" t="s">
        <v>5</v>
      </c>
      <c r="C115" s="52" t="str">
        <f>IF(applications!B23="","not filled in",applications!B23)</f>
        <v>not filled in</v>
      </c>
      <c r="D115" s="667" t="str">
        <f>IF($F$102&lt;&gt;"A",IF(z_markeeins_qts="x","service not available for the selected brand",""),"")</f>
        <v/>
      </c>
      <c r="E115" s="491"/>
      <c r="F115" s="491"/>
      <c r="G115" s="491"/>
      <c r="H115" s="491">
        <f>IF(ISERROR(VLOOKUP(D115,Stammdaten!$G$2:$H$35,2,FALSE)),0,VLOOKUP(D115,Stammdaten!$G$2:$H$35,2,FALSE))</f>
        <v>0</v>
      </c>
      <c r="I115" s="491"/>
    </row>
    <row r="116" spans="1:9" s="49" customFormat="1" ht="27" customHeight="1" x14ac:dyDescent="0.25">
      <c r="A116" s="50"/>
      <c r="B116" s="51" t="s">
        <v>696</v>
      </c>
      <c r="C116" s="52" t="str">
        <f>IF(applications!B24="","not filled in",applications!B24)</f>
        <v>not filled in</v>
      </c>
      <c r="D116" s="667"/>
      <c r="E116" s="491"/>
      <c r="F116" s="491"/>
      <c r="G116" s="491"/>
      <c r="H116" s="491">
        <f>IF(ISERROR(VLOOKUP(D116,Stammdaten!$G$2:$H$35,2,FALSE)),0,VLOOKUP(D116,Stammdaten!$G$2:$H$35,2,FALSE))</f>
        <v>0</v>
      </c>
      <c r="I116" s="491"/>
    </row>
    <row r="117" spans="1:9" s="49" customFormat="1" ht="27" customHeight="1" x14ac:dyDescent="0.25">
      <c r="A117" s="50">
        <f t="shared" si="1"/>
        <v>1</v>
      </c>
      <c r="B117" s="51" t="s">
        <v>697</v>
      </c>
      <c r="C117" s="52" t="str">
        <f>IF(applications!B25="","not filled in",applications!B25)</f>
        <v>not filled in</v>
      </c>
      <c r="D117" s="667" t="str">
        <f>IF($F$102&lt;&gt;"A",IF(z_markeeins_wts="x","service not available for the selected brand",""),IF(z_markeeins_dmzlaufwerk="x",IF(z_markeeins_wts="not filled in","request for WTS is pending - entry mandatory for usage of DMZ drive",""),""))</f>
        <v/>
      </c>
      <c r="E117" s="491"/>
      <c r="F117" s="491"/>
      <c r="G117" s="491"/>
      <c r="H117" s="491">
        <f>IF(ISERROR(VLOOKUP(D117,Stammdaten!$G$2:$H$35,2,FALSE)),0,VLOOKUP(D117,Stammdaten!$G$2:$H$35,2,FALSE))</f>
        <v>0</v>
      </c>
      <c r="I117" s="491"/>
    </row>
    <row r="118" spans="1:9" s="49" customFormat="1" ht="27" hidden="1" customHeight="1" x14ac:dyDescent="0.25">
      <c r="A118" s="50">
        <f t="shared" si="1"/>
        <v>1</v>
      </c>
      <c r="B118" s="51" t="s">
        <v>698</v>
      </c>
      <c r="C118" s="52" t="str">
        <f>IF(applications!B26="","not filled in",applications!B26)</f>
        <v>not filled in</v>
      </c>
      <c r="D118" s="667"/>
      <c r="E118" s="491"/>
      <c r="F118" s="491"/>
      <c r="G118" s="491"/>
      <c r="H118" s="491">
        <f>IF(ISERROR(VLOOKUP(D118,Stammdaten!$G$2:$H$35,2,FALSE)),0,VLOOKUP(D118,Stammdaten!$G$2:$H$35,2,FALSE))</f>
        <v>0</v>
      </c>
      <c r="I118" s="491"/>
    </row>
    <row r="119" spans="1:9" s="49" customFormat="1" ht="27" customHeight="1" x14ac:dyDescent="0.25">
      <c r="A119" s="50"/>
      <c r="B119" s="51" t="s">
        <v>51</v>
      </c>
      <c r="C119" s="52" t="str">
        <f>IF(applications!B27="","not filled in",applications!B27)</f>
        <v>not filled in</v>
      </c>
      <c r="D119" s="667"/>
      <c r="E119" s="491"/>
      <c r="F119" s="491"/>
      <c r="G119" s="491"/>
      <c r="H119" s="491">
        <f>IF(ISERROR(VLOOKUP(D119,Stammdaten!$G$2:$H$35,2,FALSE)),0,VLOOKUP(D119,Stammdaten!$G$2:$H$35,2,FALSE))</f>
        <v>0</v>
      </c>
      <c r="I119" s="491"/>
    </row>
    <row r="120" spans="1:9" s="49" customFormat="1" ht="27" customHeight="1" x14ac:dyDescent="0.25">
      <c r="A120" s="50"/>
      <c r="B120" s="51" t="s">
        <v>835</v>
      </c>
      <c r="C120" s="52" t="str">
        <f>IF(applications!B28="","not filled in",applications!B28)</f>
        <v>not filled in</v>
      </c>
      <c r="D120" s="667" t="str">
        <f>IF(applications!B81=10,"a further service/IP was named without brand allocation","")</f>
        <v/>
      </c>
      <c r="E120" s="491"/>
      <c r="F120" s="491"/>
      <c r="G120" s="491"/>
      <c r="H120" s="491">
        <f>IF(ISERROR(VLOOKUP(D120,Stammdaten!$G$2:$H$35,2,FALSE)),0,VLOOKUP(D120,Stammdaten!$G$2:$H$35,2,FALSE))</f>
        <v>0</v>
      </c>
      <c r="I120" s="491"/>
    </row>
    <row r="121" spans="1:9" s="49" customFormat="1" ht="27" customHeight="1" x14ac:dyDescent="0.25">
      <c r="A121" s="50">
        <f t="shared" si="1"/>
        <v>1</v>
      </c>
      <c r="B121" s="228" t="s">
        <v>836</v>
      </c>
      <c r="C121" s="52" t="str">
        <f>IF(F121=1,applications!B29,IF(applications!B28="","not filled in",IF(applications!B29="","filling is pending",applications!B29)))</f>
        <v>not filled in</v>
      </c>
      <c r="D121" s="667" t="str">
        <f>IF(F143=1,"CAUTION: selection of brand for named further service/IP is pending - Service request not executable",IF(C120="x",IF(C121="filling is pending","name the other service/IP",""),""))</f>
        <v/>
      </c>
      <c r="E121" s="491"/>
      <c r="F121" s="491">
        <f>IF(applications!D28="selection of brand for named further service/IP is pending",1,0)</f>
        <v>0</v>
      </c>
      <c r="G121" s="491"/>
      <c r="H121" s="491">
        <f>IF(ISERROR(VLOOKUP(D121,Stammdaten!$G$2:$H$35,2,FALSE)),0,VLOOKUP(D121,Stammdaten!$G$2:$H$35,2,FALSE))</f>
        <v>0</v>
      </c>
      <c r="I121" s="491"/>
    </row>
    <row r="122" spans="1:9" s="39" customFormat="1" ht="27" customHeight="1" x14ac:dyDescent="0.2">
      <c r="A122" s="45"/>
      <c r="B122" s="463" t="s">
        <v>888</v>
      </c>
      <c r="C122" s="52" t="str">
        <f>IF(F122="Audix",IF(JITAudi_Nutzungsstandorte="","filling is pending",JITAudi_Nutzungsstandorte),"not filled in")</f>
        <v>not filled in</v>
      </c>
      <c r="D122" s="673" t="str">
        <f>IF(F122="Audix",IF(z_markeeins_jit_audinutzungsstandort="filling is pending","waiting for list of locations of use",""),"")</f>
        <v/>
      </c>
      <c r="E122" s="490"/>
      <c r="F122" s="490" t="str">
        <f>applications!C6&amp;applications!B27</f>
        <v/>
      </c>
      <c r="G122" s="490"/>
      <c r="H122" s="491">
        <f>IF(ISERROR(VLOOKUP(D122,Stammdaten!$G$2:$H$35,2,FALSE)),0,VLOOKUP(D122,Stammdaten!$G$2:$H$35,2,FALSE))</f>
        <v>0</v>
      </c>
      <c r="I122" s="490"/>
    </row>
    <row r="123" spans="1:9" s="39" customFormat="1" ht="33.75" customHeight="1" x14ac:dyDescent="0.2">
      <c r="A123" s="45"/>
      <c r="B123" s="757" t="s">
        <v>1031</v>
      </c>
      <c r="C123" s="52" t="str">
        <f>IF(z_markeeins_citrix="x",IF(applications!K24="","filling is pending",applications!K24),"not filled in")</f>
        <v>not filled in</v>
      </c>
      <c r="D123" s="785" t="str">
        <f>IF(z_markeeins_citrix="x",IF(applications!K24="","add information about usage of citrix",""),"")</f>
        <v/>
      </c>
      <c r="E123" s="490"/>
      <c r="F123" s="490"/>
      <c r="G123" s="490"/>
      <c r="H123" s="491">
        <f>IF(ISERROR(VLOOKUP(D123,Stammdaten!$G$2:$H$35,2,FALSE)),0,VLOOKUP(D123,Stammdaten!$G$2:$H$35,2,FALSE))</f>
        <v>0</v>
      </c>
      <c r="I123" s="490"/>
    </row>
    <row r="124" spans="1:9" s="39" customFormat="1" ht="42" customHeight="1" x14ac:dyDescent="0.2">
      <c r="A124" s="45"/>
      <c r="B124" s="37" t="str">
        <f>applications!A10</f>
        <v>application/connection types</v>
      </c>
      <c r="C124" s="69" t="str">
        <f>"Brand: "&amp;applications!C7</f>
        <v xml:space="preserve">Brand: </v>
      </c>
      <c r="D124" s="670" t="str">
        <f>IF(applications!$C$7&lt;&gt;"",IF(COUNTBLANK(applications!$C$11:$C$28)=18,"Selection of applications for brand 2 is pending",""),"")</f>
        <v/>
      </c>
      <c r="E124" s="490" t="s">
        <v>916</v>
      </c>
      <c r="F124" s="490" t="str">
        <f>IF(z_markezwei_marke="Brand: Audi","A",IF(z_markezwei_marke="Brand: VW","V",IF(z_markezwei_marke="Brand: Skoda","SK",IF(z_markezwei_marke="Brand: Bugatti","B","O"))))</f>
        <v>O</v>
      </c>
      <c r="G124" s="490"/>
      <c r="H124" s="491">
        <f>IF(ISERROR(VLOOKUP(D124,Stammdaten!$G$2:$H$35,2,FALSE)),0,VLOOKUP(D124,Stammdaten!$G$2:$H$35,2,FALSE))</f>
        <v>0</v>
      </c>
      <c r="I124" s="490"/>
    </row>
    <row r="125" spans="1:9" s="49" customFormat="1" ht="36.75" customHeight="1" x14ac:dyDescent="0.25">
      <c r="A125" s="50">
        <f t="shared" si="1"/>
        <v>1</v>
      </c>
      <c r="B125" s="51" t="s">
        <v>2</v>
      </c>
      <c r="C125" s="52" t="str">
        <f>IF(applications!C11="","not filled in",applications!C11)</f>
        <v>not filled in</v>
      </c>
      <c r="D125" s="903" t="str">
        <f>IF(applications!B52=2,"Recommendation of Audi Methodenkommunikation has not yet been fulfilled  - request for implementation access Audi Mynet is pending","")</f>
        <v/>
      </c>
      <c r="E125" s="493"/>
      <c r="F125" s="493"/>
      <c r="G125" s="493"/>
      <c r="H125" s="491">
        <f>IF(ISERROR(VLOOKUP(D125,Stammdaten!$G$2:$H$35,2,FALSE)),0,VLOOKUP(D125,Stammdaten!$G$2:$H$35,2,FALSE))</f>
        <v>0</v>
      </c>
      <c r="I125" s="491"/>
    </row>
    <row r="126" spans="1:9" s="49" customFormat="1" ht="45" customHeight="1" x14ac:dyDescent="0.25">
      <c r="A126" s="50">
        <f t="shared" si="1"/>
        <v>1</v>
      </c>
      <c r="B126" s="51" t="s">
        <v>3</v>
      </c>
      <c r="C126" s="52" t="str">
        <f>IF(applications!C12="","not filled in",applications!C12)</f>
        <v>not filled in</v>
      </c>
      <c r="D126" s="903" t="str">
        <f>IF(applications!B47=2,"Recommendation of Audi Methodenkommunikation has not yet been fulfilled  - request for implementation access Audi Mynet is pendin","")</f>
        <v/>
      </c>
      <c r="E126" s="493"/>
      <c r="F126" s="493"/>
      <c r="G126" s="493"/>
      <c r="H126" s="491">
        <f>IF(ISERROR(VLOOKUP(D126,Stammdaten!$G$2:$H$35,2,FALSE)),0,VLOOKUP(D126,Stammdaten!$G$2:$H$35,2,FALSE))</f>
        <v>0</v>
      </c>
      <c r="I126" s="491"/>
    </row>
    <row r="127" spans="1:9" s="49" customFormat="1" ht="24.75" customHeight="1" x14ac:dyDescent="0.25">
      <c r="A127" s="50">
        <f t="shared" si="1"/>
        <v>1</v>
      </c>
      <c r="B127" s="51" t="s">
        <v>4</v>
      </c>
      <c r="C127" s="52" t="str">
        <f>IF(applications!C13="","not filled in",applications!C13)</f>
        <v>not filled in</v>
      </c>
      <c r="D127" s="674"/>
      <c r="E127" s="491"/>
      <c r="F127" s="491"/>
      <c r="G127" s="491"/>
      <c r="H127" s="491">
        <f>IF(ISERROR(VLOOKUP(D127,Stammdaten!$G$2:$H$35,2,FALSE)),0,VLOOKUP(D127,Stammdaten!$G$2:$H$35,2,FALSE))</f>
        <v>0</v>
      </c>
      <c r="I127" s="491"/>
    </row>
    <row r="128" spans="1:9" s="49" customFormat="1" ht="24.75" customHeight="1" x14ac:dyDescent="0.25">
      <c r="A128" s="50">
        <f t="shared" si="1"/>
        <v>1</v>
      </c>
      <c r="B128" s="51" t="s">
        <v>7</v>
      </c>
      <c r="C128" s="52" t="str">
        <f>IF(applications!C14="","not filled in",applications!C14)</f>
        <v>not filled in</v>
      </c>
      <c r="D128" s="674"/>
      <c r="E128" s="491"/>
      <c r="F128" s="491"/>
      <c r="G128" s="491"/>
      <c r="H128" s="491">
        <f>IF(ISERROR(VLOOKUP(D128,Stammdaten!$G$2:$H$35,2,FALSE)),0,VLOOKUP(D128,Stammdaten!$G$2:$H$35,2,FALSE))</f>
        <v>0</v>
      </c>
      <c r="I128" s="491"/>
    </row>
    <row r="129" spans="1:9" s="49" customFormat="1" ht="24.75" customHeight="1" x14ac:dyDescent="0.25">
      <c r="A129" s="50">
        <f t="shared" si="1"/>
        <v>1</v>
      </c>
      <c r="B129" s="51" t="s">
        <v>689</v>
      </c>
      <c r="C129" s="52" t="str">
        <f>IF(applications!C15="","not filled in",applications!C15)</f>
        <v>not filled in</v>
      </c>
      <c r="D129" s="675"/>
      <c r="E129" s="491"/>
      <c r="F129" s="491"/>
      <c r="G129" s="491"/>
      <c r="H129" s="491">
        <f>IF(ISERROR(VLOOKUP(D129,Stammdaten!$G$2:$H$35,2,FALSE)),0,VLOOKUP(D129,Stammdaten!$G$2:$H$35,2,FALSE))</f>
        <v>0</v>
      </c>
      <c r="I129" s="491"/>
    </row>
    <row r="130" spans="1:9" s="49" customFormat="1" ht="24.75" hidden="1" customHeight="1" x14ac:dyDescent="0.25">
      <c r="A130" s="50">
        <f t="shared" si="1"/>
        <v>1</v>
      </c>
      <c r="B130" s="51" t="s">
        <v>690</v>
      </c>
      <c r="C130" s="52" t="str">
        <f>IF(applications!C16="","not filled in",applications!C16)</f>
        <v>not filled in</v>
      </c>
      <c r="D130" s="674"/>
      <c r="E130" s="491"/>
      <c r="F130" s="491"/>
      <c r="G130" s="491"/>
      <c r="H130" s="491">
        <f>IF(ISERROR(VLOOKUP(D130,Stammdaten!$G$2:$H$35,2,FALSE)),0,VLOOKUP(D130,Stammdaten!$G$2:$H$35,2,FALSE))</f>
        <v>0</v>
      </c>
      <c r="I130" s="491"/>
    </row>
    <row r="131" spans="1:9" s="49" customFormat="1" ht="24.75" customHeight="1" x14ac:dyDescent="0.25">
      <c r="A131" s="50">
        <f t="shared" si="1"/>
        <v>1</v>
      </c>
      <c r="B131" s="51" t="s">
        <v>709</v>
      </c>
      <c r="C131" s="52" t="str">
        <f>IF(applications!C17="","not filled in",applications!C17)</f>
        <v>not filled in</v>
      </c>
      <c r="D131" s="674"/>
      <c r="E131" s="491"/>
      <c r="F131" s="491"/>
      <c r="G131" s="491"/>
      <c r="H131" s="491">
        <f>IF(ISERROR(VLOOKUP(D131,Stammdaten!$G$2:$H$35,2,FALSE)),0,VLOOKUP(D131,Stammdaten!$G$2:$H$35,2,FALSE))</f>
        <v>0</v>
      </c>
      <c r="I131" s="491"/>
    </row>
    <row r="132" spans="1:9" s="49" customFormat="1" ht="24.75" customHeight="1" x14ac:dyDescent="0.25">
      <c r="A132" s="50">
        <f t="shared" si="1"/>
        <v>1</v>
      </c>
      <c r="B132" s="51" t="s">
        <v>832</v>
      </c>
      <c r="C132" s="52" t="str">
        <f>IF(applications!C18="","not filled in",applications!C18)</f>
        <v>not filled in</v>
      </c>
      <c r="D132" s="674" t="str">
        <f>IF($F$124="O",IF(z_markezwei_oftp="x","service not available for the selected brand",""),"")</f>
        <v/>
      </c>
      <c r="E132" s="491"/>
      <c r="F132" s="491"/>
      <c r="G132" s="491"/>
      <c r="H132" s="491">
        <f>IF(ISERROR(VLOOKUP(D132,Stammdaten!$G$2:$H$35,2,FALSE)),0,VLOOKUP(D132,Stammdaten!$G$2:$H$35,2,FALSE))</f>
        <v>0</v>
      </c>
      <c r="I132" s="491"/>
    </row>
    <row r="133" spans="1:9" s="49" customFormat="1" ht="24.75" customHeight="1" x14ac:dyDescent="0.25">
      <c r="A133" s="50">
        <f t="shared" si="1"/>
        <v>1</v>
      </c>
      <c r="B133" s="51" t="s">
        <v>9</v>
      </c>
      <c r="C133" s="52" t="str">
        <f>IF(applications!C19="","not filled in",applications!C19)</f>
        <v>not filled in</v>
      </c>
      <c r="D133" s="773" t="str">
        <f>applications!B100</f>
        <v xml:space="preserve">
</v>
      </c>
      <c r="E133" s="491"/>
      <c r="F133" s="491"/>
      <c r="G133" s="491"/>
      <c r="H133" s="491">
        <f>IF(ISERROR(VLOOKUP(D133,Stammdaten!$G$2:$H$35,2,FALSE)),0,VLOOKUP(D133,Stammdaten!$G$2:$H$35,2,FALSE))</f>
        <v>0</v>
      </c>
      <c r="I133" s="491"/>
    </row>
    <row r="134" spans="1:9" s="49" customFormat="1" ht="24.75" customHeight="1" x14ac:dyDescent="0.25">
      <c r="A134" s="50">
        <f t="shared" si="1"/>
        <v>1</v>
      </c>
      <c r="B134" s="463" t="s">
        <v>833</v>
      </c>
      <c r="C134" s="52" t="str">
        <f>IF(applications!C20="","not filled in",applications!C20)</f>
        <v>not filled in</v>
      </c>
      <c r="D134" s="773" t="str">
        <f>IF($F$124&lt;&gt;"A",IF(z_markezwei_dmzlaufwerk="x","service not available for the selected brand",""),"")</f>
        <v/>
      </c>
      <c r="E134" s="491"/>
      <c r="F134" s="491"/>
      <c r="G134" s="491"/>
      <c r="H134" s="491">
        <f>IF(ISERROR(VLOOKUP(D134,Stammdaten!$G$2:$H$35,2,FALSE)),0,VLOOKUP(D134,Stammdaten!$G$2:$H$35,2,FALSE))</f>
        <v>0</v>
      </c>
      <c r="I134" s="491"/>
    </row>
    <row r="135" spans="1:9" s="49" customFormat="1" ht="24.75" customHeight="1" x14ac:dyDescent="0.25">
      <c r="A135" s="50">
        <f t="shared" si="1"/>
        <v>1</v>
      </c>
      <c r="B135" s="51" t="s">
        <v>1025</v>
      </c>
      <c r="C135" s="52" t="str">
        <f>IF(applications!B47=2,IF(applications!C21="","filling is pending",applications!C21),(IF(applications!C21="","not filled in",applications!C21)))</f>
        <v>not filled in</v>
      </c>
      <c r="D135" s="667" t="str">
        <f>IF(C135="filling is pending","entry desired",IF($F$102&lt;&gt;"A",IF(z_markeeins_mynet="x","service not available for the selected brand",""),""))</f>
        <v/>
      </c>
      <c r="E135" s="491"/>
      <c r="F135" s="491"/>
      <c r="G135" s="491"/>
      <c r="H135" s="491">
        <f>IF(ISERROR(VLOOKUP(D135,Stammdaten!$G$2:$H$35,2,FALSE)),0,VLOOKUP(D135,Stammdaten!$G$2:$H$35,2,FALSE))</f>
        <v>0</v>
      </c>
      <c r="I135" s="491"/>
    </row>
    <row r="136" spans="1:9" s="49" customFormat="1" ht="24.75" customHeight="1" x14ac:dyDescent="0.25">
      <c r="A136" s="50">
        <f>IF(C136="nicht befüllt",0,1)</f>
        <v>1</v>
      </c>
      <c r="B136" s="51" t="s">
        <v>834</v>
      </c>
      <c r="C136" s="52" t="str">
        <f>IF(applications!C22="","not filled in",applications!C22)</f>
        <v>not filled in</v>
      </c>
      <c r="D136" s="674"/>
      <c r="E136" s="491"/>
      <c r="F136" s="491"/>
      <c r="G136" s="491"/>
      <c r="H136" s="491">
        <f>IF(ISERROR(VLOOKUP(D136,Stammdaten!$G$2:$H$35,2,FALSE)),0,VLOOKUP(D136,Stammdaten!$G$2:$H$35,2,FALSE))</f>
        <v>0</v>
      </c>
      <c r="I136" s="491"/>
    </row>
    <row r="137" spans="1:9" s="49" customFormat="1" ht="24.75" hidden="1" customHeight="1" x14ac:dyDescent="0.25">
      <c r="A137" s="50"/>
      <c r="B137" s="51" t="s">
        <v>5</v>
      </c>
      <c r="C137" s="52" t="str">
        <f>IF(applications!C23="","not filled in",applications!C23)</f>
        <v>not filled in</v>
      </c>
      <c r="D137" s="674" t="str">
        <f>IF($F$124&lt;&gt;"A",IF(z_markezwei_qts="x","service not available for the selected brand",""),"")</f>
        <v/>
      </c>
      <c r="E137" s="491"/>
      <c r="F137" s="491"/>
      <c r="G137" s="491"/>
      <c r="H137" s="491">
        <f>IF(ISERROR(VLOOKUP(D137,Stammdaten!$G$2:$H$35,2,FALSE)),0,VLOOKUP(D137,Stammdaten!$G$2:$H$35,2,FALSE))</f>
        <v>0</v>
      </c>
      <c r="I137" s="491"/>
    </row>
    <row r="138" spans="1:9" s="49" customFormat="1" ht="24.75" customHeight="1" x14ac:dyDescent="0.25">
      <c r="A138" s="50"/>
      <c r="B138" s="51" t="s">
        <v>696</v>
      </c>
      <c r="C138" s="52" t="str">
        <f>IF(applications!C24="","not filled in",applications!C24)</f>
        <v>not filled in</v>
      </c>
      <c r="D138" s="674"/>
      <c r="E138" s="491"/>
      <c r="F138" s="491"/>
      <c r="G138" s="491"/>
      <c r="H138" s="491">
        <f>IF(ISERROR(VLOOKUP(D138,Stammdaten!$G$2:$H$35,2,FALSE)),0,VLOOKUP(D138,Stammdaten!$G$2:$H$35,2,FALSE))</f>
        <v>0</v>
      </c>
      <c r="I138" s="491"/>
    </row>
    <row r="139" spans="1:9" s="49" customFormat="1" ht="24.75" customHeight="1" x14ac:dyDescent="0.25">
      <c r="A139" s="50">
        <f t="shared" si="1"/>
        <v>1</v>
      </c>
      <c r="B139" s="51" t="s">
        <v>697</v>
      </c>
      <c r="C139" s="52" t="str">
        <f>IF(applications!C25="","not filled in",applications!C25)</f>
        <v>not filled in</v>
      </c>
      <c r="D139" s="667" t="str">
        <f>IF($F$124&lt;&gt;"A",IF(z_markezwei_wts="x","service not available for the selected brand",""),IF(z_markezwei_dmzlaufwerk="x",IF(C107="not filled in","request for WTS is pending - entry mandatory for usage of DMZ drive",""),""))</f>
        <v/>
      </c>
      <c r="E139" s="491"/>
      <c r="F139" s="491"/>
      <c r="G139" s="491"/>
      <c r="H139" s="491">
        <f>IF(ISERROR(VLOOKUP(D139,Stammdaten!$G$2:$H$35,2,FALSE)),0,VLOOKUP(D139,Stammdaten!$G$2:$H$35,2,FALSE))</f>
        <v>0</v>
      </c>
      <c r="I139" s="491"/>
    </row>
    <row r="140" spans="1:9" s="49" customFormat="1" ht="24.75" hidden="1" customHeight="1" x14ac:dyDescent="0.25">
      <c r="A140" s="50">
        <f t="shared" si="1"/>
        <v>1</v>
      </c>
      <c r="B140" s="51" t="s">
        <v>698</v>
      </c>
      <c r="C140" s="52" t="str">
        <f>IF(applications!C26="","not filled in",applications!C26)</f>
        <v>not filled in</v>
      </c>
      <c r="D140" s="674"/>
      <c r="E140" s="491"/>
      <c r="F140" s="491"/>
      <c r="G140" s="491"/>
      <c r="H140" s="491">
        <f>IF(ISERROR(VLOOKUP(D140,Stammdaten!$G$2:$H$35,2,FALSE)),0,VLOOKUP(D140,Stammdaten!$G$2:$H$35,2,FALSE))</f>
        <v>0</v>
      </c>
      <c r="I140" s="491"/>
    </row>
    <row r="141" spans="1:9" s="49" customFormat="1" ht="24.75" customHeight="1" x14ac:dyDescent="0.25">
      <c r="A141" s="50"/>
      <c r="B141" s="51" t="s">
        <v>51</v>
      </c>
      <c r="C141" s="52" t="str">
        <f>IF(applications!C27="","not filled in",applications!C27)</f>
        <v>not filled in</v>
      </c>
      <c r="D141" s="674"/>
      <c r="E141" s="491"/>
      <c r="F141" s="491"/>
      <c r="G141" s="491"/>
      <c r="H141" s="491">
        <f>IF(ISERROR(VLOOKUP(D141,Stammdaten!$G$2:$H$35,2,FALSE)),0,VLOOKUP(D141,Stammdaten!$G$2:$H$35,2,FALSE))</f>
        <v>0</v>
      </c>
      <c r="I141" s="491"/>
    </row>
    <row r="142" spans="1:9" s="49" customFormat="1" ht="27.75" customHeight="1" x14ac:dyDescent="0.25">
      <c r="A142" s="50"/>
      <c r="B142" s="51" t="s">
        <v>835</v>
      </c>
      <c r="C142" s="52" t="str">
        <f>IF(applications!C28="","not filled in",applications!C28)</f>
        <v>not filled in</v>
      </c>
      <c r="D142" s="667" t="str">
        <f>IF(applications!B81=10,"a further service/IP was named without brand allocation","")</f>
        <v/>
      </c>
      <c r="E142" s="491"/>
      <c r="F142" s="491"/>
      <c r="G142" s="491"/>
      <c r="H142" s="491">
        <f>IF(ISERROR(VLOOKUP(D142,Stammdaten!$G$2:$H$35,2,FALSE)),0,VLOOKUP(D142,Stammdaten!$G$2:$H$35,2,FALSE))</f>
        <v>0</v>
      </c>
      <c r="I142" s="491"/>
    </row>
    <row r="143" spans="1:9" s="49" customFormat="1" ht="33" customHeight="1" x14ac:dyDescent="0.25">
      <c r="A143" s="50">
        <f>IF(C142="nicht befüllt",0,1)</f>
        <v>1</v>
      </c>
      <c r="B143" s="228" t="s">
        <v>836</v>
      </c>
      <c r="C143" s="52" t="str">
        <f>IF(F143=1,applications!B29,IF(applications!C28="","not filled in",IF(applications!B29="","filling is pending",applications!B29)))</f>
        <v>not filled in</v>
      </c>
      <c r="D143" s="667" t="str">
        <f>IF(F143=1,"CAUTION: selection of brand for named further service/IP is pending - Service request not executable",IF(C142="x",IF(C143="filling is pending","name the other service/IP",""),""))</f>
        <v/>
      </c>
      <c r="E143" s="491"/>
      <c r="F143" s="491">
        <f>IF(applications!D28="selection of brand for named further service/IP is pending",1,0)</f>
        <v>0</v>
      </c>
      <c r="G143" s="491"/>
      <c r="H143" s="491">
        <f>IF(ISERROR(VLOOKUP(D143,Stammdaten!$G$2:$H$35,2,FALSE)),0,VLOOKUP(D143,Stammdaten!$G$2:$H$35,2,FALSE))</f>
        <v>0</v>
      </c>
      <c r="I143" s="491"/>
    </row>
    <row r="144" spans="1:9" s="49" customFormat="1" ht="24.75" customHeight="1" x14ac:dyDescent="0.25">
      <c r="A144" s="50"/>
      <c r="B144" s="463" t="s">
        <v>888</v>
      </c>
      <c r="C144" s="52" t="str">
        <f>IF(F144="Audix",IF(JITAudi_Nutzungsstandorte="","filling is pending",JITAudi_Nutzungsstandorte),"not filled in")</f>
        <v>not filled in</v>
      </c>
      <c r="D144" s="678" t="str">
        <f>IF(F144="Audix",IF(C144="filling is pending","waiting for list of locations of use",""),"")</f>
        <v/>
      </c>
      <c r="E144" s="491"/>
      <c r="F144" s="491" t="str">
        <f>applications!C7&amp;applications!C27</f>
        <v/>
      </c>
      <c r="G144" s="491"/>
      <c r="H144" s="491">
        <f>IF(ISERROR(VLOOKUP(D144,Stammdaten!$G$2:$H$35,2,FALSE)),0,VLOOKUP(D144,Stammdaten!$G$2:$H$35,2,FALSE))</f>
        <v>0</v>
      </c>
      <c r="I144" s="491"/>
    </row>
    <row r="145" spans="1:9" s="39" customFormat="1" ht="24.75" customHeight="1" x14ac:dyDescent="0.2">
      <c r="A145" s="45"/>
      <c r="B145" s="757" t="s">
        <v>1031</v>
      </c>
      <c r="C145" s="52" t="str">
        <f>IF(z_markezwei_citrix="x",IF(applications!K24="","filling is pending",applications!K24),"not filled in")</f>
        <v>not filled in</v>
      </c>
      <c r="D145" s="786" t="str">
        <f>IF(z_markezwei_citrix="x",IF(applications!K24="","add information about usage of citrix",""),"")</f>
        <v/>
      </c>
      <c r="E145" s="494"/>
      <c r="F145" s="494"/>
      <c r="G145" s="494"/>
      <c r="H145" s="491">
        <f>IF(ISERROR(VLOOKUP(D145,Stammdaten!$G$2:$H$35,2,FALSE)),0,VLOOKUP(D145,Stammdaten!$G$2:$H$35,2,FALSE))</f>
        <v>0</v>
      </c>
      <c r="I145" s="490"/>
    </row>
    <row r="146" spans="1:9" s="39" customFormat="1" ht="6" customHeight="1" x14ac:dyDescent="0.2">
      <c r="A146" s="45"/>
      <c r="B146" s="887"/>
      <c r="C146" s="888"/>
      <c r="D146" s="786"/>
      <c r="E146" s="494"/>
      <c r="F146" s="494"/>
      <c r="G146" s="494"/>
      <c r="H146" s="491"/>
      <c r="I146" s="490"/>
    </row>
    <row r="147" spans="1:9" s="39" customFormat="1" ht="35.25" customHeight="1" x14ac:dyDescent="0.2">
      <c r="A147" s="45"/>
      <c r="B147" s="37" t="s">
        <v>891</v>
      </c>
      <c r="C147" s="41"/>
      <c r="D147" s="677"/>
      <c r="E147" s="494"/>
      <c r="F147" s="494"/>
      <c r="G147" s="494"/>
      <c r="H147" s="491"/>
      <c r="I147" s="490"/>
    </row>
    <row r="148" spans="1:9" s="49" customFormat="1" ht="24.75" customHeight="1" x14ac:dyDescent="0.25">
      <c r="A148" s="50"/>
      <c r="B148" s="471" t="s">
        <v>839</v>
      </c>
      <c r="C148" s="470" t="str">
        <f>IF(applications!K11="","not filled in",applications!K11)</f>
        <v>not filled in</v>
      </c>
      <c r="D148" s="678" t="str">
        <f>IF(SUM($A$103:$A$143)&gt;0,IF(C148="not filled in","entry mandatory",""),"")</f>
        <v>entry mandatory</v>
      </c>
      <c r="E148" s="491"/>
      <c r="F148" s="491"/>
      <c r="G148" s="491"/>
      <c r="H148" s="491">
        <f>IF(ISERROR(VLOOKUP(D148,Stammdaten!$G$2:$H$35,2,FALSE)),0,VLOOKUP(D148,Stammdaten!$G$2:$H$35,2,FALSE))</f>
        <v>1</v>
      </c>
      <c r="I148" s="491"/>
    </row>
    <row r="149" spans="1:9" s="49" customFormat="1" ht="24.75" customHeight="1" x14ac:dyDescent="0.25">
      <c r="A149" s="50"/>
      <c r="B149" s="471" t="s">
        <v>817</v>
      </c>
      <c r="C149" s="470" t="str">
        <f>IF(applications!K12="","not filled in",applications!K12)</f>
        <v>not filled in</v>
      </c>
      <c r="D149" s="678" t="str">
        <f>IF(SUM($A$103:$A$143)&gt;0,IF(C149="not filled in","entry mandatory",""),"")</f>
        <v>entry mandatory</v>
      </c>
      <c r="E149" s="491"/>
      <c r="F149" s="491"/>
      <c r="G149" s="491"/>
      <c r="H149" s="491">
        <f>IF(ISERROR(VLOOKUP(D149,Stammdaten!$G$2:$H$35,2,FALSE)),0,VLOOKUP(D149,Stammdaten!$G$2:$H$35,2,FALSE))</f>
        <v>1</v>
      </c>
      <c r="I149" s="491"/>
    </row>
    <row r="150" spans="1:9" s="49" customFormat="1" ht="24.75" customHeight="1" x14ac:dyDescent="0.25">
      <c r="A150" s="50"/>
      <c r="B150" s="471" t="s">
        <v>818</v>
      </c>
      <c r="C150" s="470" t="str">
        <f>IF(applications!K13="","not filled in",applications!K13)</f>
        <v>not filled in</v>
      </c>
      <c r="D150" s="678" t="str">
        <f>IF(SUM($A$103:$A$143)&gt;0,IF(C150="not filled in","entry mandatory",""),"")</f>
        <v>entry mandatory</v>
      </c>
      <c r="E150" s="491"/>
      <c r="F150" s="491"/>
      <c r="G150" s="491"/>
      <c r="H150" s="491">
        <f>IF(ISERROR(VLOOKUP(D150,Stammdaten!$G$2:$H$35,2,FALSE)),0,VLOOKUP(D150,Stammdaten!$G$2:$H$35,2,FALSE))</f>
        <v>1</v>
      </c>
      <c r="I150" s="491"/>
    </row>
    <row r="151" spans="1:9" s="49" customFormat="1" ht="24.75" customHeight="1" x14ac:dyDescent="0.25">
      <c r="A151" s="50"/>
      <c r="B151" s="471" t="s">
        <v>819</v>
      </c>
      <c r="C151" s="470" t="str">
        <f>IF(applications!K14="","not filled in",applications!K14)</f>
        <v>not filled in</v>
      </c>
      <c r="D151" s="678" t="str">
        <f>IF(SUM($A$103:$A$143)&gt;0,IF(C151="not filled in","entry mandatory",""),"")</f>
        <v>entry mandatory</v>
      </c>
      <c r="E151" s="491"/>
      <c r="F151" s="491"/>
      <c r="G151" s="491"/>
      <c r="H151" s="491">
        <f>IF(ISERROR(VLOOKUP(D151,Stammdaten!$G$2:$H$35,2,FALSE)),0,VLOOKUP(D151,Stammdaten!$G$2:$H$35,2,FALSE))</f>
        <v>1</v>
      </c>
      <c r="I151" s="491"/>
    </row>
    <row r="152" spans="1:9" s="49" customFormat="1" ht="24.75" customHeight="1" x14ac:dyDescent="0.25">
      <c r="A152" s="50"/>
      <c r="B152" s="471" t="s">
        <v>840</v>
      </c>
      <c r="C152" s="415" t="str">
        <f>IF(applications!K16="","not filled in",applications!K16)</f>
        <v>not filled in</v>
      </c>
      <c r="D152" s="678"/>
      <c r="E152" s="491"/>
      <c r="F152" s="491"/>
      <c r="G152" s="491"/>
      <c r="H152" s="491">
        <f>IF(ISERROR(VLOOKUP(D152,Stammdaten!$G$2:$H$35,2,FALSE)),0,VLOOKUP(D152,Stammdaten!$G$2:$H$35,2,FALSE))</f>
        <v>0</v>
      </c>
      <c r="I152" s="491"/>
    </row>
    <row r="153" spans="1:9" s="49" customFormat="1" ht="24.75" customHeight="1" x14ac:dyDescent="0.25">
      <c r="A153" s="50"/>
      <c r="B153" s="471" t="s">
        <v>820</v>
      </c>
      <c r="C153" s="470" t="str">
        <f>IF(applications!K15="","not filled in",applications!K15)</f>
        <v>not filled in</v>
      </c>
      <c r="D153" s="678" t="str">
        <f>IF(SUM($A$103:$A$143)&gt;0,IF(C153="not filled in","entry mandatory",IF(Tabelle1!M13="ungültig","e-mail address incorrect","")),"")</f>
        <v>entry mandatory</v>
      </c>
      <c r="E153" s="491"/>
      <c r="F153" s="491"/>
      <c r="G153" s="491"/>
      <c r="H153" s="491">
        <f>IF(ISERROR(VLOOKUP(D153,Stammdaten!$G$2:$H$35,2,FALSE)),0,VLOOKUP(D153,Stammdaten!$G$2:$H$35,2,FALSE))</f>
        <v>1</v>
      </c>
      <c r="I153" s="491"/>
    </row>
    <row r="154" spans="1:9" s="49" customFormat="1" ht="23.25" customHeight="1" x14ac:dyDescent="0.2">
      <c r="A154" s="50"/>
      <c r="B154" s="37" t="s">
        <v>889</v>
      </c>
      <c r="C154" s="75"/>
      <c r="D154" s="676"/>
      <c r="E154" s="491"/>
      <c r="F154" s="491"/>
      <c r="G154" s="491"/>
      <c r="H154" s="491">
        <f>IF(ISERROR(VLOOKUP(D154,Stammdaten!$G$2:$H$35,2,FALSE)),0,VLOOKUP(D154,Stammdaten!$G$2:$H$35,2,FALSE))</f>
        <v>0</v>
      </c>
      <c r="I154" s="491"/>
    </row>
    <row r="155" spans="1:9" s="49" customFormat="1" ht="62.25" customHeight="1" x14ac:dyDescent="0.25">
      <c r="A155" s="50"/>
      <c r="B155" s="76" t="s">
        <v>890</v>
      </c>
      <c r="C155" s="81" t="str">
        <f>IF(applications!B30="","not filled in",applications!B43)</f>
        <v>not filled in</v>
      </c>
      <c r="D155" s="676"/>
      <c r="E155" s="491"/>
      <c r="F155" s="491"/>
      <c r="G155" s="491"/>
      <c r="H155" s="491">
        <f>IF(ISERROR(VLOOKUP(D155,Stammdaten!$G$2:$H$35,2,FALSE)),0,VLOOKUP(D155,Stammdaten!$G$2:$H$35,2,FALSE))</f>
        <v>0</v>
      </c>
      <c r="I155" s="491"/>
    </row>
    <row r="156" spans="1:9" s="49" customFormat="1" ht="5.25" customHeight="1" x14ac:dyDescent="0.25">
      <c r="A156" s="50"/>
      <c r="B156" s="889"/>
      <c r="C156" s="890"/>
      <c r="D156" s="676"/>
      <c r="E156" s="491"/>
      <c r="F156" s="491"/>
      <c r="G156" s="491"/>
      <c r="H156" s="491"/>
      <c r="I156" s="491"/>
    </row>
    <row r="157" spans="1:9" s="49" customFormat="1" ht="5.25" customHeight="1" x14ac:dyDescent="0.25">
      <c r="A157" s="50"/>
      <c r="B157" s="889"/>
      <c r="C157" s="890"/>
      <c r="D157" s="676"/>
      <c r="E157" s="491"/>
      <c r="F157" s="491"/>
      <c r="G157" s="491"/>
      <c r="H157" s="491"/>
      <c r="I157" s="491"/>
    </row>
    <row r="158" spans="1:9" s="39" customFormat="1" ht="41.25" customHeight="1" x14ac:dyDescent="0.2">
      <c r="A158" s="45"/>
      <c r="C158" s="38"/>
      <c r="D158" s="668"/>
      <c r="E158" s="490"/>
      <c r="F158" s="490"/>
      <c r="G158" s="490"/>
      <c r="H158" s="490"/>
      <c r="I158" s="490"/>
    </row>
    <row r="159" spans="1:9" s="39" customFormat="1" ht="30" customHeight="1" x14ac:dyDescent="0.2">
      <c r="A159" s="59">
        <v>4</v>
      </c>
      <c r="B159" s="472" t="s">
        <v>892</v>
      </c>
      <c r="C159" s="58" t="s">
        <v>989</v>
      </c>
      <c r="D159" s="668"/>
      <c r="E159" s="490"/>
      <c r="F159" s="490"/>
      <c r="G159" s="490"/>
      <c r="H159" s="490">
        <f>IF(SUM(H160:H199)&gt;0,1,0)</f>
        <v>0</v>
      </c>
      <c r="I159" s="490"/>
    </row>
    <row r="160" spans="1:9" s="39" customFormat="1" ht="24" customHeight="1" x14ac:dyDescent="0.2">
      <c r="A160" s="45"/>
      <c r="B160" s="69" t="str">
        <f>"Brand: "&amp;applications!C6</f>
        <v xml:space="preserve">Brand: </v>
      </c>
      <c r="C160" s="42">
        <f>IF(SUM(A103:A118)=0,"",1)</f>
        <v>1</v>
      </c>
      <c r="D160" s="668"/>
      <c r="E160" s="490"/>
      <c r="F160" s="490"/>
      <c r="G160" s="490"/>
      <c r="H160" s="490"/>
      <c r="I160" s="490"/>
    </row>
    <row r="161" spans="1:9" s="49" customFormat="1" ht="39" customHeight="1" x14ac:dyDescent="0.2">
      <c r="A161" s="50"/>
      <c r="B161" s="51" t="s">
        <v>2</v>
      </c>
      <c r="C161" s="70" t="str">
        <f>IF('contact persons VW Group'!P11=1,IF('contact persons VW Group'!Q11=0,"filling is pending",'contact persons VW Group'!M11),"not filled in")</f>
        <v>not filled in</v>
      </c>
      <c r="D161" s="670" t="str">
        <f>IF(z_markeeins_kvs="x",IF(Tabelle1!N13="ungültig","e-mail address incorrect",IF(C161="filling is pending","entry mandatory",IF('contact persons VW Group'!K11&lt;&gt;1,"data incomplete or not correct",""))),IF('contact persons VW Group'!K11=1,IF(z_markeeins_kvs&lt;&gt;"x","selection of application for this contact is pending",""),""))</f>
        <v/>
      </c>
      <c r="E161" s="491"/>
      <c r="F161" s="491"/>
      <c r="G161" s="491"/>
      <c r="H161" s="490">
        <f>IF(ISERROR(VLOOKUP(D161,Stammdaten!$G$2:$H$37,2,FALSE)),0,VLOOKUP(D161,Stammdaten!$G$2:$H$37,2,FALSE))</f>
        <v>0</v>
      </c>
      <c r="I161" s="491"/>
    </row>
    <row r="162" spans="1:9" s="49" customFormat="1" ht="39" customHeight="1" x14ac:dyDescent="0.2">
      <c r="A162" s="50"/>
      <c r="B162" s="51" t="s">
        <v>3</v>
      </c>
      <c r="C162" s="70" t="str">
        <f>IF('company data'!$G$7=1,summary!F162,summary!E162)</f>
        <v>not filled in</v>
      </c>
      <c r="D162" s="702" t="str">
        <f>IF(z_markeeins_connect="x",IF(Tabelle1!O13="ungültig","e-mail address incorrect",IF(C162="filling is pending","entry mandatory",IF('contact persons VW Group'!K12&lt;&gt;1,"data incomplete or not correct",""))),IF('contact persons VW Group'!K12=1,IF(z_markeeins_connect&lt;&gt;"x","selection of application for this contact is pending",""),""))</f>
        <v/>
      </c>
      <c r="E162" s="491" t="str">
        <f>IF('contact persons VW Group'!P12=1,IF('contact persons VW Group'!Q12=0,"filling is pending",'contact persons VW Group'!M12),"not filled in")</f>
        <v>not filled in</v>
      </c>
      <c r="F162" s="491" t="str">
        <f>IF('contact persons VW Group'!P12=1,IF('contact persons VW Group'!Q12=0,"not filled in",'contact persons VW Group'!M12),"not filled in")</f>
        <v>not filled in</v>
      </c>
      <c r="G162" s="491"/>
      <c r="H162" s="490">
        <f>IF(ISERROR(VLOOKUP(D162,Stammdaten!$G$2:$H$37,2,FALSE)),0,VLOOKUP(D162,Stammdaten!$G$2:$H$37,2,FALSE))</f>
        <v>0</v>
      </c>
      <c r="I162" s="491"/>
    </row>
    <row r="163" spans="1:9" s="49" customFormat="1" ht="39" customHeight="1" x14ac:dyDescent="0.2">
      <c r="A163" s="50"/>
      <c r="B163" s="51" t="s">
        <v>4</v>
      </c>
      <c r="C163" s="70" t="str">
        <f>IF('contact persons VW Group'!P13=1,IF('contact persons VW Group'!Q13=0,"filling is pending",'contact persons VW Group'!M13),"not filled in")</f>
        <v>not filled in</v>
      </c>
      <c r="D163" s="702" t="str">
        <f>IF(z_markeeins_vwdms="x",IF(Tabelle1!P14="ungültig","e-mail address incorrect",IF(C163="filling is pending","entry mandatory",IF('contact persons VW Group'!K13&lt;&gt;1,"data incomplete or not correct",""))),IF('contact persons VW Group'!K13=1,IF(z_markeeins_vwdms&lt;&gt;"x","selection of application for this contact is pending",""),""))</f>
        <v/>
      </c>
      <c r="E163" s="491"/>
      <c r="F163" s="491"/>
      <c r="G163" s="491"/>
      <c r="H163" s="490">
        <f>IF(ISERROR(VLOOKUP(D163,Stammdaten!$G$2:$H$37,2,FALSE)),0,VLOOKUP(D163,Stammdaten!$G$2:$H$37,2,FALSE))</f>
        <v>0</v>
      </c>
      <c r="I163" s="491"/>
    </row>
    <row r="164" spans="1:9" s="49" customFormat="1" ht="39" customHeight="1" x14ac:dyDescent="0.2">
      <c r="A164" s="50"/>
      <c r="B164" s="51" t="s">
        <v>7</v>
      </c>
      <c r="C164" s="70" t="str">
        <f>IF('contact persons VW Group'!P14=1,IF('contact persons VW Group'!Q14=0,"filling is pending",'contact persons VW Group'!M14),"not filled in")</f>
        <v>not filled in</v>
      </c>
      <c r="D164" s="702" t="str">
        <f>IF(z_markeeins_eca="x",IF(Tabelle1!Q13="ungültig","e-mail address incorrect",IF(C164="filling is pending","entry mandatory",IF('contact persons VW Group'!K14&lt;&gt;1,"data incomplete or not correct",""))),IF('contact persons VW Group'!K14=1,IF(z_markeeins_eca&lt;&gt;"x","selection of application for this contact is pending",""),""))</f>
        <v/>
      </c>
      <c r="E164" s="491"/>
      <c r="F164" s="491"/>
      <c r="G164" s="491"/>
      <c r="H164" s="490">
        <f>IF(ISERROR(VLOOKUP(D164,Stammdaten!$G$2:$H$37,2,FALSE)),0,VLOOKUP(D164,Stammdaten!$G$2:$H$37,2,FALSE))</f>
        <v>0</v>
      </c>
      <c r="I164" s="491"/>
    </row>
    <row r="165" spans="1:9" s="49" customFormat="1" ht="39" customHeight="1" x14ac:dyDescent="0.2">
      <c r="A165" s="50"/>
      <c r="B165" s="51" t="s">
        <v>689</v>
      </c>
      <c r="C165" s="70" t="str">
        <f>IF('contact persons VW Group'!P15=1,IF('contact persons VW Group'!Q15=0,"filling is pending",'contact persons VW Group'!M15),"not filled in")</f>
        <v>not filled in</v>
      </c>
      <c r="D165" s="702" t="str">
        <f>IF(z_markeeins_zmb="x",IF(Tabelle1!R13="ungültig","e-mail address incorrect",IF(C165="filling is pending","entry mandatory",IF('contact persons VW Group'!K15&lt;&gt;1,"data incomplete or not correct",""))),IF('contact persons VW Group'!K15=1,IF(z_markeeins_zmb&lt;&gt;"x","selection of application for this contact is pending",""),""))</f>
        <v/>
      </c>
      <c r="E165" s="491"/>
      <c r="F165" s="491"/>
      <c r="G165" s="491"/>
      <c r="H165" s="490">
        <f>IF(ISERROR(VLOOKUP(D165,Stammdaten!$G$2:$H$37,2,FALSE)),0,VLOOKUP(D165,Stammdaten!$G$2:$H$37,2,FALSE))</f>
        <v>0</v>
      </c>
      <c r="I165" s="491"/>
    </row>
    <row r="166" spans="1:9" s="49" customFormat="1" ht="39" hidden="1" customHeight="1" x14ac:dyDescent="0.2">
      <c r="A166" s="50"/>
      <c r="B166" s="51" t="s">
        <v>690</v>
      </c>
      <c r="C166" s="70" t="str">
        <f>IF('company data'!$G$7=1,summary!F166,summary!E166)</f>
        <v>not filled in</v>
      </c>
      <c r="D166" s="702" t="str">
        <f>IF(z_markeeins_scf="x",IF(Tabelle1!S13="ungültig","e-mail address incorrect",IF(C166="filling is pending","entry mandatory",IF('contact persons VW Group'!K16&lt;&gt;1,"data incomplete or not correct",""))),IF('contact persons VW Group'!K16=1,IF(z_markeeins_scf&lt;&gt;"x","selection of application for this contact is pending",""),""))</f>
        <v/>
      </c>
      <c r="E166" s="491" t="str">
        <f>IF('contact persons VW Group'!P16=1,IF('contact persons VW Group'!Q16=0,"filling is pending",'contact persons VW Group'!M16),"not filled in")</f>
        <v>not filled in</v>
      </c>
      <c r="F166" s="491" t="str">
        <f>IF('contact persons VW Group'!P16=1,IF('contact persons VW Group'!Q16=0,"not filled in",'contact persons VW Group'!M16),"not filled in")</f>
        <v>not filled in</v>
      </c>
      <c r="G166" s="491"/>
      <c r="H166" s="490">
        <f>IF(ISERROR(VLOOKUP(D166,Stammdaten!$G$2:$H$37,2,FALSE)),0,VLOOKUP(D166,Stammdaten!$G$2:$H$37,2,FALSE))</f>
        <v>0</v>
      </c>
      <c r="I166" s="491"/>
    </row>
    <row r="167" spans="1:9" s="49" customFormat="1" ht="39" customHeight="1" x14ac:dyDescent="0.2">
      <c r="A167" s="50"/>
      <c r="B167" s="51" t="s">
        <v>709</v>
      </c>
      <c r="C167" s="70" t="str">
        <f>IF('contact persons VW Group'!P17=1,IF('contact persons VW Group'!Q17=0,"filling is pending",'contact persons VW Group'!M17),"not filled in")</f>
        <v>not filled in</v>
      </c>
      <c r="D167" s="702" t="str">
        <f>IF(z_markeeins_syncrofit="x",IF(Tabelle1!T13="ungültig","e-mail address incorrect",IF(C167="filling is pending","entry mandatory",IF('contact persons VW Group'!K17&lt;&gt;1,"data incomplete or not correct",""))),IF('contact persons VW Group'!K17=1,IF(z_markeeins_syncrofit&lt;&gt;"x","selection of application for this contact is pending",""),""))</f>
        <v/>
      </c>
      <c r="E167" s="491"/>
      <c r="F167" s="491"/>
      <c r="G167" s="491"/>
      <c r="H167" s="490">
        <f>IF(ISERROR(VLOOKUP(D167,Stammdaten!$G$2:$H$37,2,FALSE)),0,VLOOKUP(D167,Stammdaten!$G$2:$H$37,2,FALSE))</f>
        <v>0</v>
      </c>
      <c r="I167" s="491"/>
    </row>
    <row r="168" spans="1:9" s="49" customFormat="1" ht="39" customHeight="1" x14ac:dyDescent="0.2">
      <c r="A168" s="50"/>
      <c r="B168" s="51" t="s">
        <v>658</v>
      </c>
      <c r="C168" s="70" t="str">
        <f>IF('contact persons VW Group'!P18=1,IF('contact persons VW Group'!Q18=0,"filling is pending",'contact persons VW Group'!M18),"not filled in")</f>
        <v>not filled in</v>
      </c>
      <c r="D168" s="702" t="str">
        <f>IF(z_markeeins_oftp="x",IF(Tabelle1!U13="ungültig","e-mail address incorrect",IF(C168="filling is pending","entry mandatory",IF('contact persons VW Group'!K18&lt;&gt;1,"data incomplete or not correct",""))),IF('contact persons VW Group'!K18=1,IF(z_markeeins_oftp&lt;&gt;"x","selection of application for this contact is pending",""),""))</f>
        <v/>
      </c>
      <c r="E168" s="491"/>
      <c r="F168" s="491"/>
      <c r="G168" s="491"/>
      <c r="H168" s="490">
        <f>IF(ISERROR(VLOOKUP(D168,Stammdaten!$G$2:$H$37,2,FALSE)),0,VLOOKUP(D168,Stammdaten!$G$2:$H$37,2,FALSE))</f>
        <v>0</v>
      </c>
      <c r="I168" s="491"/>
    </row>
    <row r="169" spans="1:9" s="49" customFormat="1" ht="39" customHeight="1" x14ac:dyDescent="0.2">
      <c r="A169" s="50"/>
      <c r="B169" s="51" t="s">
        <v>9</v>
      </c>
      <c r="C169" s="70" t="str">
        <f>IF('contact persons VW Group'!P19=1,IF('contact persons VW Group'!Q19=0,"filling is pending",'contact persons VW Group'!M19),"not filled in")</f>
        <v>not filled in</v>
      </c>
      <c r="D169" s="702" t="str">
        <f>IF(z_markeeins_simplx="x",IF(Tabelle1!V13="ungültig","e-mail address incorrect",IF(C169="filling is pending","entry mandatory",IF('contact persons VW Group'!K19&lt;&gt;1,"data incomplete or not correct",""))),IF('contact persons VW Group'!K19=1,IF(z_markeeins_simplx&lt;&gt;"x","selection of application for this contact is pending",""),""))</f>
        <v/>
      </c>
      <c r="E169" s="491"/>
      <c r="F169" s="491"/>
      <c r="G169" s="491"/>
      <c r="H169" s="490">
        <f>IF(ISERROR(VLOOKUP(D169,Stammdaten!$G$2:$H$37,2,FALSE)),0,VLOOKUP(D169,Stammdaten!$G$2:$H$37,2,FALSE))</f>
        <v>0</v>
      </c>
      <c r="I169" s="491"/>
    </row>
    <row r="170" spans="1:9" s="49" customFormat="1" ht="39" customHeight="1" x14ac:dyDescent="0.2">
      <c r="A170" s="50"/>
      <c r="B170" s="51" t="s">
        <v>6</v>
      </c>
      <c r="C170" s="70" t="str">
        <f>IF('contact persons VW Group'!P20=1,IF('contact persons VW Group'!Q20=0,"filling is pending",'contact persons VW Group'!M20),"not filled in")</f>
        <v>not filled in</v>
      </c>
      <c r="D170" s="702" t="str">
        <f>IF(z_markeeins_dmzlaufwerk="x",IF(Tabelle1!W13="ungültig","e-mail address incorrect",IF(C170="filling is pending","entry mandatory",IF('contact persons VW Group'!K20&lt;&gt;1,"data incomplete or not correct",""))),IF('contact persons VW Group'!K20=1,IF(z_markeeins_dmzlaufwerk&lt;&gt;"x","selection of application for this contact is pending",""),""))</f>
        <v/>
      </c>
      <c r="E170" s="491"/>
      <c r="F170" s="491"/>
      <c r="G170" s="491"/>
      <c r="H170" s="490">
        <f>IF(ISERROR(VLOOKUP(D170,Stammdaten!$G$2:$H$37,2,FALSE)),0,VLOOKUP(D170,Stammdaten!$G$2:$H$37,2,FALSE))</f>
        <v>0</v>
      </c>
      <c r="I170" s="491"/>
    </row>
    <row r="171" spans="1:9" s="49" customFormat="1" ht="39" customHeight="1" x14ac:dyDescent="0.2">
      <c r="A171" s="50"/>
      <c r="B171" s="757" t="s">
        <v>1025</v>
      </c>
      <c r="C171" s="70" t="str">
        <f>IF('contact persons VW Group'!P21=1,IF('contact persons VW Group'!Q21=0,"filling is pending",'contact persons VW Group'!M21),"not filled in")</f>
        <v>not filled in</v>
      </c>
      <c r="D171" s="702" t="str">
        <f>IF(z_markeeins_mynet="x",IF(Tabelle1!X13="ungültig","e-mail address incorrect",IF(C171="filling is pending","entry mandatory",IF('contact persons VW Group'!K21&lt;&gt;1,"data incomplete or not correct",""))),IF('contact persons VW Group'!K21=1,IF(z_markeeins_mynet&lt;&gt;"x","selection of application for this contact is pending",""),""))</f>
        <v/>
      </c>
      <c r="E171" s="491"/>
      <c r="F171" s="491"/>
      <c r="G171" s="491"/>
      <c r="H171" s="490">
        <f>IF(ISERROR(VLOOKUP(D171,Stammdaten!$G$2:$H$37,2,FALSE)),0,VLOOKUP(D171,Stammdaten!$G$2:$H$37,2,FALSE))</f>
        <v>0</v>
      </c>
      <c r="I171" s="491"/>
    </row>
    <row r="172" spans="1:9" s="49" customFormat="1" ht="39" customHeight="1" x14ac:dyDescent="0.2">
      <c r="A172" s="50"/>
      <c r="B172" s="51" t="s">
        <v>659</v>
      </c>
      <c r="C172" s="70" t="str">
        <f>IF('contact persons VW Group'!P22=1,IF('contact persons VW Group'!Q22=0,"filling is pending",'contact persons VW Group'!M22),"not filled in")</f>
        <v>not filled in</v>
      </c>
      <c r="D172" s="702" t="str">
        <f>IF(z_markeeins_edikommerzda="x",IF(Tabelle1!Y13="ungültig","e-mail address incorrect",IF(C172="filling is pending","entry mandatory",IF('contact persons VW Group'!K22&lt;&gt;1,"data incomplete or not correct",""))),IF('contact persons VW Group'!K22=1,IF(z_markeeins_edikommerzda&lt;&gt;"x","selection of application for this contact is pending",""),""))</f>
        <v/>
      </c>
      <c r="E172" s="491"/>
      <c r="F172" s="491"/>
      <c r="G172" s="491"/>
      <c r="H172" s="490">
        <f>IF(ISERROR(VLOOKUP(D172,Stammdaten!$G$2:$H$37,2,FALSE)),0,VLOOKUP(D172,Stammdaten!$G$2:$H$37,2,FALSE))</f>
        <v>0</v>
      </c>
      <c r="I172" s="491"/>
    </row>
    <row r="173" spans="1:9" s="49" customFormat="1" ht="39" hidden="1" customHeight="1" x14ac:dyDescent="0.2">
      <c r="A173" s="50"/>
      <c r="B173" s="51" t="s">
        <v>5</v>
      </c>
      <c r="C173" s="70" t="str">
        <f>IF('contact persons VW Group'!P23=1,IF('contact persons VW Group'!Q23=0,"filling is pending",'contact persons VW Group'!M23),"not filled in")</f>
        <v>not filled in</v>
      </c>
      <c r="D173" s="702" t="str">
        <f>IF(z_markeeins_qts="x",IF(Tabelle1!Z13="ungültig","e-mail address incorrect",IF(C173="filling is pending","entry mandatory",IF('contact persons VW Group'!K23&lt;&gt;1,"data incomplete or not correct",""))),IF('contact persons VW Group'!K23=1,IF(z_markeeins_qts&lt;&gt;"x","selection of application for this contact is pending",""),""))</f>
        <v/>
      </c>
      <c r="E173" s="491"/>
      <c r="F173" s="491"/>
      <c r="G173" s="491"/>
      <c r="H173" s="490">
        <f>IF(ISERROR(VLOOKUP(D173,Stammdaten!$G$2:$H$37,2,FALSE)),0,VLOOKUP(D173,Stammdaten!$G$2:$H$37,2,FALSE))</f>
        <v>0</v>
      </c>
      <c r="I173" s="491"/>
    </row>
    <row r="174" spans="1:9" s="49" customFormat="1" ht="39" customHeight="1" x14ac:dyDescent="0.2">
      <c r="A174" s="50"/>
      <c r="B174" s="51" t="s">
        <v>696</v>
      </c>
      <c r="C174" s="70" t="str">
        <f>IF('contact persons VW Group'!P24=1,IF('contact persons VW Group'!Q24=0,"filling is pending",'contact persons VW Group'!M24),"not filled in")</f>
        <v>not filled in</v>
      </c>
      <c r="D174" s="702" t="str">
        <f>IF(z_markeeins_citrix="x",IF(Tabelle1!AA13="ungültig","e-mail address incorrect",IF(C174="filling is pending","entry mandatory",IF('contact persons VW Group'!K24&lt;&gt;1,"data incomplete or not correct",""))),IF('contact persons VW Group'!K24=1,IF(z_markeeins_citrix&lt;&gt;"x","selection of application for this contact is pending",""),""))</f>
        <v/>
      </c>
      <c r="E174" s="491"/>
      <c r="F174" s="491"/>
      <c r="G174" s="491"/>
      <c r="H174" s="490">
        <f>IF(ISERROR(VLOOKUP(D174,Stammdaten!$G$2:$H$37,2,FALSE)),0,VLOOKUP(D174,Stammdaten!$G$2:$H$37,2,FALSE))</f>
        <v>0</v>
      </c>
      <c r="I174" s="491"/>
    </row>
    <row r="175" spans="1:9" s="49" customFormat="1" ht="39" customHeight="1" x14ac:dyDescent="0.2">
      <c r="A175" s="50"/>
      <c r="B175" s="51" t="s">
        <v>697</v>
      </c>
      <c r="C175" s="70" t="str">
        <f>IF('contact persons VW Group'!P25=1,IF('contact persons VW Group'!Q25=0,"filling is pending",'contact persons VW Group'!M25),"not filled in")</f>
        <v>not filled in</v>
      </c>
      <c r="D175" s="702" t="str">
        <f>IF(z_markeeins_wts="x",IF(Tabelle1!AB13="ungültig","e-mail address incorrect",IF(C175="filling is pending","entry mandatory",IF('contact persons VW Group'!K25&lt;&gt;1,"data incomplete or not correct",""))),IF('contact persons VW Group'!K25=1,IF(z_markeeins_wts&lt;&gt;"x","selection of application for this contact is pending",""),""))</f>
        <v/>
      </c>
      <c r="E175" s="491"/>
      <c r="F175" s="491"/>
      <c r="G175" s="491"/>
      <c r="H175" s="490">
        <f>IF(ISERROR(VLOOKUP(D175,Stammdaten!$G$2:$H$37,2,FALSE)),0,VLOOKUP(D175,Stammdaten!$G$2:$H$37,2,FALSE))</f>
        <v>0</v>
      </c>
      <c r="I175" s="491"/>
    </row>
    <row r="176" spans="1:9" s="49" customFormat="1" ht="39" hidden="1" customHeight="1" x14ac:dyDescent="0.2">
      <c r="A176" s="50"/>
      <c r="B176" s="51" t="s">
        <v>698</v>
      </c>
      <c r="C176" s="70" t="str">
        <f>IF('contact persons VW Group'!P26=1,IF('contact persons VW Group'!Q26=0,"filling is pending",'contact persons VW Group'!M26),"not filled in")</f>
        <v>not filled in</v>
      </c>
      <c r="D176" s="702" t="str">
        <f>IF(z_markeeins_kvs="x",IF(Tabelle1!N28="ungültig","e-mail address incorrect",IF(C176="not filled in or incomplete","entry mandatory",IF('contact persons VW Group'!K26&lt;&gt;1,"data incomplete or not correct",""))),IF('contact persons VW Group'!K26=1,IF(z_markeeins_kvs&lt;&gt;"x","selection of application for this contact is pending",""),""))</f>
        <v/>
      </c>
      <c r="E176" s="491"/>
      <c r="F176" s="491"/>
      <c r="G176" s="491"/>
      <c r="H176" s="490">
        <f>IF(ISERROR(VLOOKUP(D176,Stammdaten!$G$2:$H$37,2,FALSE)),0,VLOOKUP(D176,Stammdaten!$G$2:$H$37,2,FALSE))</f>
        <v>0</v>
      </c>
      <c r="I176" s="491"/>
    </row>
    <row r="177" spans="1:9" s="49" customFormat="1" ht="39" customHeight="1" x14ac:dyDescent="0.2">
      <c r="A177" s="50"/>
      <c r="B177" s="51" t="s">
        <v>51</v>
      </c>
      <c r="C177" s="70" t="str">
        <f>IF('contact persons VW Group'!P27=1,IF('contact persons VW Group'!Q27=0,"filling is pending",'contact persons VW Group'!M27),"not filled in")</f>
        <v>not filled in</v>
      </c>
      <c r="D177" s="702" t="str">
        <f>IF(z_markeeins_jit="x",IF(Tabelle1!AC13="ungültig","e-mail address incorrect",IF(C177="filling is pending","entry mandatory",IF('contact persons VW Group'!K27&lt;&gt;1,"data incomplete or not correct",""))),IF('contact persons VW Group'!K27=1,IF(z_markeeins_jit&lt;&gt;"x","selection of application for this contact is pending",""),""))</f>
        <v/>
      </c>
      <c r="E177" s="491"/>
      <c r="F177" s="491"/>
      <c r="G177" s="491"/>
      <c r="H177" s="490">
        <f>IF(ISERROR(VLOOKUP(D177,Stammdaten!$G$2:$H$37,2,FALSE)),0,VLOOKUP(D177,Stammdaten!$G$2:$H$37,2,FALSE))</f>
        <v>0</v>
      </c>
      <c r="I177" s="491"/>
    </row>
    <row r="178" spans="1:9" s="49" customFormat="1" ht="39" customHeight="1" x14ac:dyDescent="0.2">
      <c r="A178" s="50"/>
      <c r="B178" s="757" t="s">
        <v>1011</v>
      </c>
      <c r="C178" s="70" t="str">
        <f>IF('contact persons VW Group'!P28=1,IF('contact persons VW Group'!Q28=0,"filling is pending",'contact persons VW Group'!M28),"not filled in")</f>
        <v>not filled in</v>
      </c>
      <c r="D178" s="702" t="str">
        <f>IF(z_markeeins_frage_sonstservice="x",IF(Tabelle1!AD13="ungültig","e-mail address incorrect",IF(C178="filling is pending","entry mandatory",IF('contact persons VW Group'!K28&lt;&gt;1,"data incomplete or not correct",""))),IF('contact persons VW Group'!K28=1,IF(z_markeeins_frage_sonstservice&lt;&gt;"x","selection of application for this contact is pending",""),""))</f>
        <v/>
      </c>
      <c r="E178" s="746"/>
      <c r="F178" s="491"/>
      <c r="G178" s="491"/>
      <c r="H178" s="490">
        <f>IF(ISERROR(VLOOKUP(D178,Stammdaten!$G$2:$H$37,2,FALSE)),0,VLOOKUP(D178,Stammdaten!$G$2:$H$37,2,FALSE))</f>
        <v>0</v>
      </c>
      <c r="I178" s="491"/>
    </row>
    <row r="179" spans="1:9" s="49" customFormat="1" ht="21" customHeight="1" x14ac:dyDescent="0.2">
      <c r="A179" s="50"/>
      <c r="B179" s="227"/>
      <c r="C179" s="749" t="str">
        <f>IF(applications!D78="fazit",IF(applications!B28="x","CAUTION: for application FAZIT exclusively naming of the item responsible of the commissioning Volkswagen Group department",""),"")</f>
        <v/>
      </c>
      <c r="D179" s="670"/>
      <c r="E179" s="491"/>
      <c r="F179" s="491"/>
      <c r="G179" s="491"/>
      <c r="H179" s="490">
        <f>IF(ISERROR(VLOOKUP(D179,Stammdaten!$G$2:$H$37,2,FALSE)),0,VLOOKUP(D179,Stammdaten!$G$2:$H$37,2,FALSE))</f>
        <v>0</v>
      </c>
      <c r="I179" s="491"/>
    </row>
    <row r="180" spans="1:9" s="39" customFormat="1" ht="11.25" customHeight="1" x14ac:dyDescent="0.2">
      <c r="A180" s="45"/>
      <c r="C180" s="71"/>
      <c r="D180" s="668"/>
      <c r="E180" s="490"/>
      <c r="F180" s="490"/>
      <c r="G180" s="490"/>
      <c r="H180" s="490">
        <f>IF(ISERROR(VLOOKUP(D180,Stammdaten!$G$2:$H$37,2,FALSE)),0,VLOOKUP(D180,Stammdaten!$G$2:$H$37,2,FALSE))</f>
        <v>0</v>
      </c>
      <c r="I180" s="490"/>
    </row>
    <row r="181" spans="1:9" s="39" customFormat="1" ht="20.25" customHeight="1" x14ac:dyDescent="0.2">
      <c r="A181" s="45"/>
      <c r="B181" s="69" t="str">
        <f>"Brand: "&amp;applications!C7</f>
        <v xml:space="preserve">Brand: </v>
      </c>
      <c r="C181" s="72">
        <f>IF(SUM(A125:A140)=0,"",1)</f>
        <v>1</v>
      </c>
      <c r="D181" s="668"/>
      <c r="E181" s="490"/>
      <c r="F181" s="490"/>
      <c r="G181" s="490"/>
      <c r="H181" s="490">
        <f>IF(ISERROR(VLOOKUP(D181,Stammdaten!$G$2:$H$37,2,FALSE)),0,VLOOKUP(D181,Stammdaten!$G$2:$H$37,2,FALSE))</f>
        <v>0</v>
      </c>
      <c r="I181" s="490"/>
    </row>
    <row r="182" spans="1:9" s="49" customFormat="1" ht="38.25" customHeight="1" x14ac:dyDescent="0.2">
      <c r="A182" s="50"/>
      <c r="B182" s="51" t="s">
        <v>2</v>
      </c>
      <c r="C182" s="70" t="str">
        <f>IF('contact persons VW Group'!P34=1,IF('contact persons VW Group'!Q34=0,"filling is pending",'contact persons VW Group'!M32),"not filled in")</f>
        <v>not filled in</v>
      </c>
      <c r="D182" s="670" t="str">
        <f>IF(z_markezwei_kvs="x",IF(Tabelle1!AE$13="ungültig","e-mail address incorrect",IF(C182="filling is pending","entry mandatory",IF('contact persons VW Group'!K34&lt;&gt;1,"data incomplete or not correct",""))),IF('contact persons VW Group'!K34=1,IF(z_markezwei_kvs&lt;&gt;"x","selection of application for this contact is pending",""),""))</f>
        <v/>
      </c>
      <c r="E182" s="491"/>
      <c r="F182" s="491"/>
      <c r="G182" s="491"/>
      <c r="H182" s="490">
        <f>IF(ISERROR(VLOOKUP(D182,Stammdaten!$G$2:$H$37,2,FALSE)),0,VLOOKUP(D182,Stammdaten!$G$2:$H$37,2,FALSE))</f>
        <v>0</v>
      </c>
      <c r="I182" s="491"/>
    </row>
    <row r="183" spans="1:9" s="49" customFormat="1" ht="38.25" customHeight="1" x14ac:dyDescent="0.2">
      <c r="A183" s="50"/>
      <c r="B183" s="51" t="s">
        <v>3</v>
      </c>
      <c r="C183" s="70" t="str">
        <f>IF('company data'!$G$7=1,summary!F183,summary!E183)</f>
        <v>not filled in</v>
      </c>
      <c r="D183" s="702" t="str">
        <f>IF(z_markezwei_connect="x",IF(Tabelle1!AF$13="ungültig","e-mail address incorrect",IF(C183="filling is pending","entry mandatory",IF('contact persons VW Group'!K35&lt;&gt;1,"data incomplete or not correct",""))),IF('contact persons VW Group'!K35=1,IF(z_markezwei_connect&lt;&gt;"x","selection of application for this contact is pending",""),""))</f>
        <v/>
      </c>
      <c r="E183" s="491" t="str">
        <f>IF('contact persons VW Group'!P35=1,IF('contact persons VW Group'!Q35=0,"filling is pending",'contact persons VW Group'!M33),"not filled in")</f>
        <v>not filled in</v>
      </c>
      <c r="F183" s="491" t="str">
        <f>IF('contact persons VW Group'!P35=1,IF('contact persons VW Group'!Q35=0,"not filled in",'contact persons VW Group'!M33),"not filled in")</f>
        <v>not filled in</v>
      </c>
      <c r="G183" s="491"/>
      <c r="H183" s="490">
        <f>IF(ISERROR(VLOOKUP(D183,Stammdaten!$G$2:$H$37,2,FALSE)),0,VLOOKUP(D183,Stammdaten!$G$2:$H$37,2,FALSE))</f>
        <v>0</v>
      </c>
      <c r="I183" s="491"/>
    </row>
    <row r="184" spans="1:9" s="49" customFormat="1" ht="38.25" customHeight="1" x14ac:dyDescent="0.2">
      <c r="A184" s="50"/>
      <c r="B184" s="51" t="s">
        <v>4</v>
      </c>
      <c r="C184" s="70" t="str">
        <f>IF('contact persons VW Group'!P36=1,IF('contact persons VW Group'!Q36=0,"filling is pending",'contact persons VW Group'!M34),"not filled in")</f>
        <v>not filled in</v>
      </c>
      <c r="D184" s="702" t="str">
        <f>IF(z_markezwei_vwdms="x",IF(Tabelle1!AG$13="ungültig","e-mail address incorrect",IF(C184="filling is pending","entry mandatory",IF('contact persons VW Group'!K36&lt;&gt;1,"data incomplete or not correct",""))),IF('contact persons VW Group'!K36=1,IF(z_markezwei_vwdms&lt;&gt;"x","selection of application for this contact is pending",""),""))</f>
        <v/>
      </c>
      <c r="E184" s="491"/>
      <c r="F184" s="491"/>
      <c r="G184" s="491"/>
      <c r="H184" s="490">
        <f>IF(ISERROR(VLOOKUP(D184,Stammdaten!$G$2:$H$37,2,FALSE)),0,VLOOKUP(D184,Stammdaten!$G$2:$H$37,2,FALSE))</f>
        <v>0</v>
      </c>
      <c r="I184" s="491"/>
    </row>
    <row r="185" spans="1:9" s="49" customFormat="1" ht="38.25" customHeight="1" x14ac:dyDescent="0.2">
      <c r="A185" s="50"/>
      <c r="B185" s="51" t="s">
        <v>7</v>
      </c>
      <c r="C185" s="70" t="str">
        <f>IF('contact persons VW Group'!P37=1,IF('contact persons VW Group'!Q37=0,"filling is pending",'contact persons VW Group'!M35),"not filled in")</f>
        <v>not filled in</v>
      </c>
      <c r="D185" s="702" t="str">
        <f>IF(z_markezwei_eca="x",IF(Tabelle1!AH$13="ungültig","e-mail address incorrect",IF(C185="filling is pending","entry mandatory",IF('contact persons VW Group'!K37&lt;&gt;1,"data incomplete or not correct",""))),IF('contact persons VW Group'!K37=1,IF(z_markezwei_eca&lt;&gt;"x","selection of application for this contact is pending",""),""))</f>
        <v/>
      </c>
      <c r="E185" s="491"/>
      <c r="F185" s="491"/>
      <c r="G185" s="491"/>
      <c r="H185" s="490">
        <f>IF(ISERROR(VLOOKUP(D185,Stammdaten!$G$2:$H$37,2,FALSE)),0,VLOOKUP(D185,Stammdaten!$G$2:$H$37,2,FALSE))</f>
        <v>0</v>
      </c>
      <c r="I185" s="491"/>
    </row>
    <row r="186" spans="1:9" s="49" customFormat="1" ht="38.25" customHeight="1" x14ac:dyDescent="0.2">
      <c r="A186" s="50"/>
      <c r="B186" s="51" t="s">
        <v>689</v>
      </c>
      <c r="C186" s="70" t="str">
        <f>IF('contact persons VW Group'!P38=1,IF('contact persons VW Group'!Q38=0,"filling is pending",'contact persons VW Group'!M36),"not filled in")</f>
        <v>not filled in</v>
      </c>
      <c r="D186" s="702" t="str">
        <f>IF(z_markezwei_zmb="x",IF(Tabelle1!AI$13="ungültig","e-mail address incorrect",IF(C186="filling is pending","entry mandatory",IF('contact persons VW Group'!K38&lt;&gt;1,"data incomplete or not correct",""))),IF('contact persons VW Group'!K38=1,IF(z_markezwei_zmb&lt;&gt;"x","selection of application for this contact is pending",""),""))</f>
        <v/>
      </c>
      <c r="E186" s="491"/>
      <c r="F186" s="491"/>
      <c r="G186" s="491"/>
      <c r="H186" s="490">
        <f>IF(ISERROR(VLOOKUP(D186,Stammdaten!$G$2:$H$37,2,FALSE)),0,VLOOKUP(D186,Stammdaten!$G$2:$H$37,2,FALSE))</f>
        <v>0</v>
      </c>
      <c r="I186" s="491"/>
    </row>
    <row r="187" spans="1:9" s="49" customFormat="1" ht="38.25" hidden="1" customHeight="1" x14ac:dyDescent="0.2">
      <c r="A187" s="50"/>
      <c r="B187" s="51" t="s">
        <v>690</v>
      </c>
      <c r="C187" s="70" t="str">
        <f>IF('company data'!$G$7=1,summary!F187,summary!E187)</f>
        <v>not filled in</v>
      </c>
      <c r="D187" s="702" t="str">
        <f>IF(z_markezwei_scf="x",IF(Tabelle1!AJ$13="ungültig","e-mail address incorrect",IF(C187="filling is pending","entry mandatory",IF('contact persons VW Group'!K39&lt;&gt;1,"data incomplete or not correct",""))),IF('contact persons VW Group'!K39=1,IF(z_markezwei_scf&lt;&gt;"x","selection of application for this contact is pending",""),""))</f>
        <v/>
      </c>
      <c r="E187" s="491" t="str">
        <f>IF('contact persons VW Group'!P39=1,IF('contact persons VW Group'!Q39=0,"filling is pending",'contact persons VW Group'!M37),"not filled in")</f>
        <v>not filled in</v>
      </c>
      <c r="F187" s="491" t="str">
        <f>IF('contact persons VW Group'!P39=1,IF('contact persons VW Group'!Q39=0,"not filled in",'contact persons VW Group'!M37),"not filled in")</f>
        <v>not filled in</v>
      </c>
      <c r="G187" s="491"/>
      <c r="H187" s="490">
        <f>IF(ISERROR(VLOOKUP(D187,Stammdaten!$G$2:$H$37,2,FALSE)),0,VLOOKUP(D187,Stammdaten!$G$2:$H$37,2,FALSE))</f>
        <v>0</v>
      </c>
      <c r="I187" s="491"/>
    </row>
    <row r="188" spans="1:9" s="49" customFormat="1" ht="38.25" customHeight="1" x14ac:dyDescent="0.2">
      <c r="A188" s="50"/>
      <c r="B188" s="51" t="s">
        <v>709</v>
      </c>
      <c r="C188" s="70" t="str">
        <f>IF('contact persons VW Group'!P40=1,IF('contact persons VW Group'!Q40=0,"filling is pending",'contact persons VW Group'!M38),"not filled in")</f>
        <v>not filled in</v>
      </c>
      <c r="D188" s="702" t="str">
        <f>IF(z_markezwei_syncrofit="x",IF(Tabelle1!AK$13="ungültig","e-mail address incorrect",IF(C188="filling is pending","entry mandatory",IF('contact persons VW Group'!K40&lt;&gt;1,"data incomplete or not correct",""))),IF('contact persons VW Group'!K40=1,IF(z_markezwei_syncrofit&lt;&gt;"x","selection of application for this contact is pending",""),""))</f>
        <v/>
      </c>
      <c r="E188" s="491"/>
      <c r="F188" s="491"/>
      <c r="G188" s="491"/>
      <c r="H188" s="490">
        <f>IF(ISERROR(VLOOKUP(D188,Stammdaten!$G$2:$H$37,2,FALSE)),0,VLOOKUP(D188,Stammdaten!$G$2:$H$37,2,FALSE))</f>
        <v>0</v>
      </c>
      <c r="I188" s="491"/>
    </row>
    <row r="189" spans="1:9" s="49" customFormat="1" ht="38.25" customHeight="1" x14ac:dyDescent="0.2">
      <c r="A189" s="50"/>
      <c r="B189" s="51" t="s">
        <v>658</v>
      </c>
      <c r="C189" s="70" t="str">
        <f>IF('contact persons VW Group'!P41=1,IF('contact persons VW Group'!Q41=0,"filling is pending",'contact persons VW Group'!M39),"not filled in")</f>
        <v>not filled in</v>
      </c>
      <c r="D189" s="702" t="str">
        <f>IF(z_markezwei_oftp="x",IF(Tabelle1!AL$13="ungültig","e-mail address incorrect",IF(C189="filling is pending","entry mandatory",IF('contact persons VW Group'!K41&lt;&gt;1,"data incomplete or not correct",""))),IF('contact persons VW Group'!K41=1,IF(z_markezwei_oftp&lt;&gt;"x","selection of application for this contact is pending",""),""))</f>
        <v/>
      </c>
      <c r="E189" s="491"/>
      <c r="F189" s="491"/>
      <c r="G189" s="491"/>
      <c r="H189" s="490">
        <f>IF(ISERROR(VLOOKUP(D189,Stammdaten!$G$2:$H$37,2,FALSE)),0,VLOOKUP(D189,Stammdaten!$G$2:$H$37,2,FALSE))</f>
        <v>0</v>
      </c>
      <c r="I189" s="491"/>
    </row>
    <row r="190" spans="1:9" s="49" customFormat="1" ht="38.25" customHeight="1" x14ac:dyDescent="0.2">
      <c r="A190" s="50"/>
      <c r="B190" s="51" t="s">
        <v>9</v>
      </c>
      <c r="C190" s="70" t="str">
        <f>IF('contact persons VW Group'!P42=1,IF('contact persons VW Group'!Q42=0,"filling is pending",'contact persons VW Group'!M40),"not filled in")</f>
        <v>not filled in</v>
      </c>
      <c r="D190" s="702" t="str">
        <f>IF(z_markezwei_simplx="x",IF(Tabelle1!AM$13="ungültig","e-mail address incorrect",IF(C190="filling is pending","entry mandatory",IF('contact persons VW Group'!K42&lt;&gt;1,"data incomplete or not correct",""))),IF('contact persons VW Group'!K42=1,IF(z_markezwei_simplx&lt;&gt;"x","selection of application for this contact is pending",""),""))</f>
        <v/>
      </c>
      <c r="E190" s="491"/>
      <c r="F190" s="491"/>
      <c r="G190" s="491"/>
      <c r="H190" s="490">
        <f>IF(ISERROR(VLOOKUP(D190,Stammdaten!$G$2:$H$37,2,FALSE)),0,VLOOKUP(D190,Stammdaten!$G$2:$H$37,2,FALSE))</f>
        <v>0</v>
      </c>
      <c r="I190" s="491"/>
    </row>
    <row r="191" spans="1:9" s="49" customFormat="1" ht="38.25" customHeight="1" x14ac:dyDescent="0.2">
      <c r="A191" s="50"/>
      <c r="B191" s="51" t="s">
        <v>6</v>
      </c>
      <c r="C191" s="70" t="str">
        <f>IF('contact persons VW Group'!P43=1,IF('contact persons VW Group'!Q43=0,"filling is pending",'contact persons VW Group'!M41),"not filled in")</f>
        <v>not filled in</v>
      </c>
      <c r="D191" s="702" t="str">
        <f>IF(z_markezwei_dmzlaufwerk="x",IF(Tabelle1!AN$13="ungültig","e-mail address incorrect",IF(C191="filling is pending","entry mandatory",IF('contact persons VW Group'!K43&lt;&gt;1,"data incomplete or not correct",""))),IF('contact persons VW Group'!K43=1,IF(z_markezwei_dmzlaufwerk&lt;&gt;"x","selection of application for this contact is pending",""),""))</f>
        <v/>
      </c>
      <c r="E191" s="491"/>
      <c r="F191" s="491"/>
      <c r="G191" s="491"/>
      <c r="H191" s="490">
        <f>IF(ISERROR(VLOOKUP(D191,Stammdaten!$G$2:$H$37,2,FALSE)),0,VLOOKUP(D191,Stammdaten!$G$2:$H$37,2,FALSE))</f>
        <v>0</v>
      </c>
      <c r="I191" s="491"/>
    </row>
    <row r="192" spans="1:9" s="49" customFormat="1" ht="38.25" customHeight="1" x14ac:dyDescent="0.2">
      <c r="A192" s="50"/>
      <c r="B192" s="51" t="s">
        <v>1025</v>
      </c>
      <c r="C192" s="70" t="str">
        <f>IF('contact persons VW Group'!P44=1,IF('contact persons VW Group'!Q44=0,"filling is pending",'contact persons VW Group'!M42),"not filled in")</f>
        <v>not filled in</v>
      </c>
      <c r="D192" s="702" t="str">
        <f>IF(z_markezwei_mynet="x",IF(Tabelle1!AO$13="ungültig","e-mail address incorrect",IF(C192="filling is pending","entry mandatory",IF('contact persons VW Group'!K44&lt;&gt;1,"data incomplete or not correct",""))),IF('contact persons VW Group'!K44=1,IF(z_markezwei_mynet&lt;&gt;"x","selection of application for this contact is pending",""),""))</f>
        <v/>
      </c>
      <c r="E192" s="491"/>
      <c r="F192" s="491"/>
      <c r="G192" s="491"/>
      <c r="H192" s="490">
        <f>IF(ISERROR(VLOOKUP(D192,Stammdaten!$G$2:$H$37,2,FALSE)),0,VLOOKUP(D192,Stammdaten!$G$2:$H$37,2,FALSE))</f>
        <v>0</v>
      </c>
      <c r="I192" s="491"/>
    </row>
    <row r="193" spans="1:9" s="49" customFormat="1" ht="38.25" customHeight="1" x14ac:dyDescent="0.2">
      <c r="A193" s="50"/>
      <c r="B193" s="51" t="s">
        <v>659</v>
      </c>
      <c r="C193" s="70" t="str">
        <f>IF('contact persons VW Group'!P45=1,IF('contact persons VW Group'!Q45=0,"filling is pending",'contact persons VW Group'!M43),"not filled in")</f>
        <v>not filled in</v>
      </c>
      <c r="D193" s="702" t="str">
        <f>IF(z_markezwei_edikommerzda="x",IF(Tabelle1!AP$13="ungültig","e-mail address incorrect",IF(C193="filling is pending","entry mandatory",IF('contact persons VW Group'!K45&lt;&gt;1,"data incomplete or not correct",""))),IF('contact persons VW Group'!K45=1,IF(z_markezwei_edikommerzda&lt;&gt;"x","selection of application for this contact is pending",""),""))</f>
        <v/>
      </c>
      <c r="E193" s="491"/>
      <c r="F193" s="491"/>
      <c r="G193" s="491"/>
      <c r="H193" s="490">
        <f>IF(ISERROR(VLOOKUP(D193,Stammdaten!$G$2:$H$37,2,FALSE)),0,VLOOKUP(D193,Stammdaten!$G$2:$H$37,2,FALSE))</f>
        <v>0</v>
      </c>
      <c r="I193" s="491"/>
    </row>
    <row r="194" spans="1:9" s="49" customFormat="1" ht="38.25" hidden="1" customHeight="1" x14ac:dyDescent="0.2">
      <c r="A194" s="50"/>
      <c r="B194" s="51" t="s">
        <v>5</v>
      </c>
      <c r="C194" s="70" t="str">
        <f>IF('contact persons VW Group'!P46=1,IF('contact persons VW Group'!Q46=0,"filling is pending",'contact persons VW Group'!M44),"not filled in")</f>
        <v>not filled in</v>
      </c>
      <c r="D194" s="702" t="str">
        <f>IF(z_markezwei_qts="x",IF(Tabelle1!AQ$13="ungültig","e-mail address incorrect",IF(C194="filling is pending","entry mandatory",IF('contact persons VW Group'!K46&lt;&gt;1,"data incomplete or not correct",""))),IF('contact persons VW Group'!K46=1,IF(z_markezwei_qts&lt;&gt;"x","selection of application for this contact is pending",""),""))</f>
        <v/>
      </c>
      <c r="E194" s="491"/>
      <c r="F194" s="491"/>
      <c r="G194" s="491"/>
      <c r="H194" s="490">
        <f>IF(ISERROR(VLOOKUP(D194,Stammdaten!$G$2:$H$37,2,FALSE)),0,VLOOKUP(D194,Stammdaten!$G$2:$H$37,2,FALSE))</f>
        <v>0</v>
      </c>
      <c r="I194" s="491"/>
    </row>
    <row r="195" spans="1:9" s="49" customFormat="1" ht="38.25" customHeight="1" x14ac:dyDescent="0.2">
      <c r="A195" s="50"/>
      <c r="B195" s="51" t="s">
        <v>696</v>
      </c>
      <c r="C195" s="70" t="str">
        <f>IF('contact persons VW Group'!P47=1,IF('contact persons VW Group'!Q47=0,"filling is pending",'contact persons VW Group'!M45),"not filled in")</f>
        <v>not filled in</v>
      </c>
      <c r="D195" s="702" t="str">
        <f>IF(z_markezwei_citrix="x",IF(Tabelle1!AR$13="ungültig","e-mail address incorrect",IF(C195="filling is pending","entry mandatory",IF('contact persons VW Group'!K47&lt;&gt;1,"data incomplete or not correct",""))),IF('contact persons VW Group'!K47=1,IF(z_markezwei_citrix&lt;&gt;"x","selection of application for this contact is pending",""),""))</f>
        <v/>
      </c>
      <c r="E195" s="491"/>
      <c r="F195" s="491"/>
      <c r="G195" s="491"/>
      <c r="H195" s="490">
        <f>IF(ISERROR(VLOOKUP(D195,Stammdaten!$G$2:$H$37,2,FALSE)),0,VLOOKUP(D195,Stammdaten!$G$2:$H$37,2,FALSE))</f>
        <v>0</v>
      </c>
      <c r="I195" s="491"/>
    </row>
    <row r="196" spans="1:9" s="49" customFormat="1" ht="38.25" customHeight="1" x14ac:dyDescent="0.2">
      <c r="A196" s="50"/>
      <c r="B196" s="51" t="s">
        <v>697</v>
      </c>
      <c r="C196" s="70" t="str">
        <f>IF('contact persons VW Group'!P48=1,IF('contact persons VW Group'!Q48=0,"filling is pending",'contact persons VW Group'!M46),"not filled in")</f>
        <v>not filled in</v>
      </c>
      <c r="D196" s="702" t="str">
        <f>IF(z_markezwei_wts="x",IF(Tabelle1!AS$13="ungültig","e-mail address incorrect",IF(C196="filling is pending","entry mandatory",IF('contact persons VW Group'!K48&lt;&gt;1,"data incomplete or not correct",""))),IF('contact persons VW Group'!K48=1,IF(z_markezwei_wts&lt;&gt;"x","selection of application for this contact is pending",""),""))</f>
        <v/>
      </c>
      <c r="E196" s="491"/>
      <c r="F196" s="491"/>
      <c r="G196" s="491"/>
      <c r="H196" s="490">
        <f>IF(ISERROR(VLOOKUP(D196,Stammdaten!$G$2:$H$37,2,FALSE)),0,VLOOKUP(D196,Stammdaten!$G$2:$H$37,2,FALSE))</f>
        <v>0</v>
      </c>
      <c r="I196" s="491"/>
    </row>
    <row r="197" spans="1:9" s="49" customFormat="1" ht="38.25" hidden="1" customHeight="1" x14ac:dyDescent="0.2">
      <c r="A197" s="50"/>
      <c r="B197" s="51" t="s">
        <v>698</v>
      </c>
      <c r="C197" s="70" t="str">
        <f>IF('contact persons VW Group'!P49=1,IF('contact persons VW Group'!Q49=0,"filling is pending",'contact persons VW Group'!M47),"not filled in")</f>
        <v>not filled in</v>
      </c>
      <c r="D197" s="702" t="str">
        <f>IF(z_markezwei_kvs="x",IF(Tabelle1!AE$13="ungültig","e-mail address incorrect",IF(C197="filling is pending","entry mandatory",IF('contact persons VW Group'!K49&lt;&gt;1,"data incomplete or not correct",""))),IF('contact persons VW Group'!K49=1,IF(z_markezwei_kvs&lt;&gt;"x","selection of application for this contact is pending",""),""))</f>
        <v/>
      </c>
      <c r="E197" s="491"/>
      <c r="F197" s="491"/>
      <c r="G197" s="491"/>
      <c r="H197" s="490">
        <f>IF(ISERROR(VLOOKUP(D197,Stammdaten!$G$2:$H$37,2,FALSE)),0,VLOOKUP(D197,Stammdaten!$G$2:$H$37,2,FALSE))</f>
        <v>0</v>
      </c>
      <c r="I197" s="491"/>
    </row>
    <row r="198" spans="1:9" s="49" customFormat="1" ht="38.25" customHeight="1" x14ac:dyDescent="0.2">
      <c r="A198" s="50"/>
      <c r="B198" s="51" t="s">
        <v>51</v>
      </c>
      <c r="C198" s="70" t="str">
        <f>IF('contact persons VW Group'!P50=1,IF('contact persons VW Group'!Q50=0,"filling is pending",'contact persons VW Group'!M48),"not filled in")</f>
        <v>not filled in</v>
      </c>
      <c r="D198" s="702" t="str">
        <f>IF(z_markezwei_jit="x",IF(Tabelle1!AT$13="ungültig","e-mail address incorrect",IF(C198="filling is pending","entry mandatory",IF('contact persons VW Group'!K50&lt;&gt;1,"data incomplete or not correct",""))),IF('contact persons VW Group'!K50=1,IF(z_markezwei_jit&lt;&gt;"x","selection of application for this contact is pending",""),""))</f>
        <v/>
      </c>
      <c r="E198" s="491"/>
      <c r="F198" s="491"/>
      <c r="G198" s="491"/>
      <c r="H198" s="490">
        <f>IF(ISERROR(VLOOKUP(D198,Stammdaten!$G$2:$H$37,2,FALSE)),0,VLOOKUP(D198,Stammdaten!$G$2:$H$37,2,FALSE))</f>
        <v>0</v>
      </c>
      <c r="I198" s="491"/>
    </row>
    <row r="199" spans="1:9" s="49" customFormat="1" ht="38.25" customHeight="1" x14ac:dyDescent="0.2">
      <c r="A199" s="50"/>
      <c r="B199" s="757" t="s">
        <v>1010</v>
      </c>
      <c r="C199" s="70" t="str">
        <f>IF('contact persons VW Group'!P51=1,IF('contact persons VW Group'!Q51=0,"filling is pending",'contact persons VW Group'!M49),"not filled in")</f>
        <v>not filled in</v>
      </c>
      <c r="D199" s="702" t="str">
        <f>IF(z_markezwei_frage_sonstservice="x",IF(Tabelle1!AU$13="ungültig","e-mail address incorrect",IF(C199="filling is pending","entry mandatory",IF('contact persons VW Group'!K51&lt;&gt;1,"data incomplete or not correct",""))),IF('contact persons VW Group'!K51=1,IF(z_markezwei_frage_sonstservice&lt;&gt;"x","selection of application for this contact is pending",""),""))</f>
        <v/>
      </c>
      <c r="E199" s="491"/>
      <c r="F199" s="491"/>
      <c r="G199" s="491"/>
      <c r="H199" s="490">
        <f>IF(ISERROR(VLOOKUP(D199,Stammdaten!$G$2:$H$37,2,FALSE)),0,VLOOKUP(D199,Stammdaten!$G$2:$H$37,2,FALSE))</f>
        <v>0</v>
      </c>
      <c r="I199" s="491"/>
    </row>
    <row r="200" spans="1:9" s="49" customFormat="1" ht="14.25" customHeight="1" x14ac:dyDescent="0.2">
      <c r="A200" s="50"/>
      <c r="C200" s="751" t="str">
        <f>IF(applications!D78="fazit",IF(applications!C28="x","CAUTION: for application FAZIT exclusively naming of the item responsible of the commissioning Volkswagen Group department",""),"")</f>
        <v/>
      </c>
      <c r="D200" s="756" t="str">
        <f>IF($C$181=1,IF(C199="not filled in","entry mandatory",""),"")</f>
        <v>entry mandatory</v>
      </c>
      <c r="E200" s="491"/>
      <c r="F200" s="491"/>
      <c r="G200" s="491"/>
      <c r="H200" s="490"/>
      <c r="I200" s="491"/>
    </row>
    <row r="201" spans="1:9" s="39" customFormat="1" ht="18.75" customHeight="1" x14ac:dyDescent="0.2">
      <c r="A201" s="45"/>
      <c r="C201" s="38"/>
      <c r="D201" s="668"/>
      <c r="E201" s="490"/>
      <c r="F201" s="490"/>
      <c r="G201" s="490"/>
      <c r="H201" s="490"/>
      <c r="I201" s="490"/>
    </row>
    <row r="202" spans="1:9" s="39" customFormat="1" ht="14.25" hidden="1" customHeight="1" x14ac:dyDescent="0.2">
      <c r="A202" s="57">
        <v>5</v>
      </c>
      <c r="B202" s="472" t="s">
        <v>893</v>
      </c>
      <c r="C202" s="58" t="s">
        <v>989</v>
      </c>
      <c r="D202" s="668"/>
      <c r="E202" s="490"/>
      <c r="F202" s="490"/>
      <c r="G202" s="490"/>
      <c r="H202" s="490">
        <f>IF(ISERROR(VLOOKUP(D202,Stammdaten!$G$2:$H$35,2,FALSE)),0,VLOOKUP(D202,Stammdaten!$G$2:$H$35,2,FALSE))</f>
        <v>0</v>
      </c>
      <c r="I202" s="490"/>
    </row>
    <row r="203" spans="1:9" s="39" customFormat="1" ht="14.25" hidden="1" customHeight="1" x14ac:dyDescent="0.2">
      <c r="A203" s="44"/>
      <c r="B203" s="37" t="s">
        <v>894</v>
      </c>
      <c r="C203" s="38"/>
      <c r="D203" s="668"/>
      <c r="E203" s="490"/>
      <c r="F203" s="490"/>
      <c r="G203" s="490"/>
      <c r="H203" s="490">
        <f>IF(ISERROR(VLOOKUP(D203,Stammdaten!$G$2:$H$35,2,FALSE)),0,VLOOKUP(D203,Stammdaten!$G$2:$H$35,2,FALSE))</f>
        <v>0</v>
      </c>
      <c r="I203" s="490"/>
    </row>
    <row r="204" spans="1:9" s="49" customFormat="1" ht="14.25" hidden="1" customHeight="1" x14ac:dyDescent="0.2">
      <c r="A204" s="47"/>
      <c r="B204" s="473" t="s">
        <v>895</v>
      </c>
      <c r="C204" s="53" t="str">
        <f>IF('add on application CONNECT'!B7="","not filled in",'add on application CONNECT'!B7)</f>
        <v>not filled in</v>
      </c>
      <c r="D204" s="670" t="str">
        <f>IF($C$101&gt;0,IF('add on application CONNECT'!B7="","entry mandatory",""),"")</f>
        <v>entry mandatory</v>
      </c>
      <c r="E204" s="491"/>
      <c r="F204" s="491"/>
      <c r="G204" s="491"/>
      <c r="H204" s="490">
        <f>IF(ISERROR(VLOOKUP(D204,Stammdaten!$G$2:$H$35,2,FALSE)),0,VLOOKUP(D204,Stammdaten!$G$2:$H$35,2,FALSE))</f>
        <v>1</v>
      </c>
      <c r="I204" s="491"/>
    </row>
    <row r="205" spans="1:9" s="49" customFormat="1" ht="14.25" hidden="1" customHeight="1" x14ac:dyDescent="0.2">
      <c r="A205" s="47"/>
      <c r="B205" s="473" t="s">
        <v>896</v>
      </c>
      <c r="C205" s="53" t="str">
        <f>IF('add on application CONNECT'!B8="","not filled in",'add on application CONNECT'!B8)</f>
        <v>not filled in</v>
      </c>
      <c r="D205" s="670" t="str">
        <f>IF($C$101&gt;0,IF('add on application CONNECT'!B8="","entry mandatory",""),"")</f>
        <v>entry mandatory</v>
      </c>
      <c r="E205" s="491"/>
      <c r="F205" s="491"/>
      <c r="G205" s="491"/>
      <c r="H205" s="490">
        <f>IF(ISERROR(VLOOKUP(D205,Stammdaten!$G$2:$H$35,2,FALSE)),0,VLOOKUP(D205,Stammdaten!$G$2:$H$35,2,FALSE))</f>
        <v>1</v>
      </c>
      <c r="I205" s="491"/>
    </row>
    <row r="206" spans="1:9" s="49" customFormat="1" ht="14.25" hidden="1" customHeight="1" x14ac:dyDescent="0.2">
      <c r="A206" s="47"/>
      <c r="B206" s="473" t="s">
        <v>853</v>
      </c>
      <c r="C206" s="53" t="str">
        <f>IF('add on application CONNECT'!B9="","not filled in",'add on application CONNECT'!B9)</f>
        <v>not filled in</v>
      </c>
      <c r="D206" s="670" t="str">
        <f>IF($C$101&gt;0,IF('add on application CONNECT'!B9="","entry mandatory",""),"")</f>
        <v>entry mandatory</v>
      </c>
      <c r="E206" s="491"/>
      <c r="F206" s="491"/>
      <c r="G206" s="491"/>
      <c r="H206" s="490">
        <f>IF(ISERROR(VLOOKUP(D206,Stammdaten!$G$2:$H$35,2,FALSE)),0,VLOOKUP(D206,Stammdaten!$G$2:$H$35,2,FALSE))</f>
        <v>1</v>
      </c>
      <c r="I206" s="491"/>
    </row>
    <row r="207" spans="1:9" s="49" customFormat="1" ht="14.25" hidden="1" customHeight="1" x14ac:dyDescent="0.2">
      <c r="A207" s="47"/>
      <c r="B207" s="48" t="s">
        <v>897</v>
      </c>
      <c r="C207" s="53" t="str">
        <f>IF('add on application CONNECT'!B10="","not filled in",'add on application CONNECT'!B10)</f>
        <v>not filled in</v>
      </c>
      <c r="D207" s="670" t="str">
        <f>IF($C$101&gt;0,IF('add on application CONNECT'!B10="","entry mandatory",""),"")</f>
        <v>entry mandatory</v>
      </c>
      <c r="E207" s="491"/>
      <c r="F207" s="491"/>
      <c r="G207" s="491"/>
      <c r="H207" s="490">
        <f>IF(ISERROR(VLOOKUP(D207,Stammdaten!$G$2:$H$35,2,FALSE)),0,VLOOKUP(D207,Stammdaten!$G$2:$H$35,2,FALSE))</f>
        <v>1</v>
      </c>
      <c r="I207" s="491"/>
    </row>
    <row r="208" spans="1:9" s="49" customFormat="1" ht="14.25" hidden="1" customHeight="1" x14ac:dyDescent="0.2">
      <c r="A208" s="47"/>
      <c r="B208" s="48" t="s">
        <v>855</v>
      </c>
      <c r="C208" s="60" t="str">
        <f>IF('add on application CONNECT'!B11="","not filled in",'add on application CONNECT'!B11)</f>
        <v>not filled in</v>
      </c>
      <c r="D208" s="670" t="str">
        <f>IF($C$101&gt;0,IF('add on application CONNECT'!B10="yes",IF('add on application CONNECT'!B11="","entry mandatory",""),""),"")</f>
        <v/>
      </c>
      <c r="E208" s="491"/>
      <c r="F208" s="491"/>
      <c r="G208" s="491"/>
      <c r="H208" s="490">
        <f>IF(ISERROR(VLOOKUP(D208,Stammdaten!$G$2:$H$35,2,FALSE)),0,VLOOKUP(D208,Stammdaten!$G$2:$H$35,2,FALSE))</f>
        <v>0</v>
      </c>
      <c r="I208" s="491"/>
    </row>
    <row r="209" spans="1:9" s="49" customFormat="1" ht="14.25" hidden="1" customHeight="1" x14ac:dyDescent="0.2">
      <c r="A209" s="47"/>
      <c r="B209" s="48" t="s">
        <v>856</v>
      </c>
      <c r="C209" s="53" t="str">
        <f>IF('add on application CONNECT'!B12="","not filled in",'add on application CONNECT'!B12)</f>
        <v>not filled in</v>
      </c>
      <c r="D209" s="670" t="str">
        <f>IF($C$101&gt;0,IF('add on application CONNECT'!B12="","entry mandatory",""),"")</f>
        <v>entry mandatory</v>
      </c>
      <c r="E209" s="491"/>
      <c r="F209" s="491"/>
      <c r="G209" s="491"/>
      <c r="H209" s="490">
        <f>IF(ISERROR(VLOOKUP(D209,Stammdaten!$G$2:$H$35,2,FALSE)),0,VLOOKUP(D209,Stammdaten!$G$2:$H$35,2,FALSE))</f>
        <v>1</v>
      </c>
      <c r="I209" s="491"/>
    </row>
    <row r="210" spans="1:9" s="49" customFormat="1" ht="14.25" hidden="1" customHeight="1" x14ac:dyDescent="0.2">
      <c r="A210" s="47"/>
      <c r="B210" s="48" t="s">
        <v>857</v>
      </c>
      <c r="C210" s="53" t="str">
        <f>IF('add on application CONNECT'!B13="","not filled in",'add on application CONNECT'!B13)</f>
        <v>not filled in</v>
      </c>
      <c r="D210" s="670" t="str">
        <f>IF($C$101&gt;0,IF('add on application CONNECT'!B13="",IF(z_connect_frage_weitereprojekte="yes","entry mandatory",""),""),"")</f>
        <v/>
      </c>
      <c r="E210" s="491"/>
      <c r="F210" s="491"/>
      <c r="G210" s="491"/>
      <c r="H210" s="490">
        <f>IF(ISERROR(VLOOKUP(D210,Stammdaten!$G$2:$H$35,2,FALSE)),0,VLOOKUP(D210,Stammdaten!$G$2:$H$35,2,FALSE))</f>
        <v>0</v>
      </c>
      <c r="I210" s="491"/>
    </row>
    <row r="211" spans="1:9" s="39" customFormat="1" ht="14.25" hidden="1" customHeight="1" x14ac:dyDescent="0.2">
      <c r="A211" s="44"/>
      <c r="B211" s="46"/>
      <c r="C211" s="36"/>
      <c r="D211" s="670"/>
      <c r="E211" s="490"/>
      <c r="F211" s="490"/>
      <c r="G211" s="490"/>
      <c r="H211" s="490">
        <f>IF(ISERROR(VLOOKUP(D211,Stammdaten!$G$2:$H$35,2,FALSE)),0,VLOOKUP(D211,Stammdaten!$G$2:$H$35,2,FALSE))</f>
        <v>0</v>
      </c>
      <c r="I211" s="490"/>
    </row>
    <row r="212" spans="1:9" s="39" customFormat="1" ht="14.25" hidden="1" customHeight="1" x14ac:dyDescent="0.2">
      <c r="A212" s="44"/>
      <c r="B212" s="37" t="s">
        <v>898</v>
      </c>
      <c r="C212" s="43"/>
      <c r="D212" s="670"/>
      <c r="E212" s="490"/>
      <c r="F212" s="490"/>
      <c r="G212" s="490"/>
      <c r="H212" s="490">
        <f>IF(ISERROR(VLOOKUP(D212,Stammdaten!$G$2:$H$35,2,FALSE)),0,VLOOKUP(D212,Stammdaten!$G$2:$H$35,2,FALSE))</f>
        <v>0</v>
      </c>
      <c r="I212" s="490"/>
    </row>
    <row r="213" spans="1:9" s="49" customFormat="1" ht="14.25" hidden="1" customHeight="1" x14ac:dyDescent="0.2">
      <c r="A213" s="47"/>
      <c r="B213" s="48" t="s">
        <v>858</v>
      </c>
      <c r="C213" s="53" t="str">
        <f>IF('add on application CONNECT'!B16="","not filled in",'add on application CONNECT'!B16)</f>
        <v>not filled in</v>
      </c>
      <c r="D213" s="670" t="str">
        <f>IF($C$101&gt;0,IF('add on application CONNECT'!B16="","entry mandatory",""),"")</f>
        <v>entry mandatory</v>
      </c>
      <c r="E213" s="491"/>
      <c r="F213" s="491"/>
      <c r="G213" s="491"/>
      <c r="H213" s="490">
        <f>IF(ISERROR(VLOOKUP(D213,Stammdaten!$G$2:$H$35,2,FALSE)),0,VLOOKUP(D213,Stammdaten!$G$2:$H$35,2,FALSE))</f>
        <v>1</v>
      </c>
      <c r="I213" s="491"/>
    </row>
    <row r="214" spans="1:9" s="49" customFormat="1" ht="14.25" hidden="1" customHeight="1" x14ac:dyDescent="0.2">
      <c r="A214" s="47"/>
      <c r="B214" s="48" t="s">
        <v>859</v>
      </c>
      <c r="C214" s="53" t="str">
        <f>IF('add on application CONNECT'!B17="","not filled in",'add on application CONNECT'!B17)</f>
        <v>not filled in</v>
      </c>
      <c r="D214" s="670" t="str">
        <f>IF($C$101&gt;0,IF('add on application CONNECT'!B17="","entry mandatory",""),"")</f>
        <v>entry mandatory</v>
      </c>
      <c r="E214" s="491"/>
      <c r="F214" s="491"/>
      <c r="G214" s="491"/>
      <c r="H214" s="490">
        <f>IF(ISERROR(VLOOKUP(D214,Stammdaten!$G$2:$H$35,2,FALSE)),0,VLOOKUP(D214,Stammdaten!$G$2:$H$35,2,FALSE))</f>
        <v>1</v>
      </c>
      <c r="I214" s="491"/>
    </row>
    <row r="215" spans="1:9" s="49" customFormat="1" ht="14.25" hidden="1" customHeight="1" x14ac:dyDescent="0.2">
      <c r="A215" s="47"/>
      <c r="B215" s="48" t="s">
        <v>860</v>
      </c>
      <c r="C215" s="53" t="str">
        <f>IF('add on application CONNECT'!B18="","not filled in",'add on application CONNECT'!B18)</f>
        <v>not filled in</v>
      </c>
      <c r="D215" s="670" t="str">
        <f>IF($C$101&gt;0,IF('add on application CONNECT'!B18="","entry mandatory",""),"")</f>
        <v>entry mandatory</v>
      </c>
      <c r="E215" s="491"/>
      <c r="F215" s="491"/>
      <c r="G215" s="491"/>
      <c r="H215" s="490">
        <f>IF(ISERROR(VLOOKUP(D215,Stammdaten!$G$2:$H$35,2,FALSE)),0,VLOOKUP(D215,Stammdaten!$G$2:$H$35,2,FALSE))</f>
        <v>1</v>
      </c>
      <c r="I215" s="491"/>
    </row>
    <row r="216" spans="1:9" s="49" customFormat="1" ht="14.25" hidden="1" customHeight="1" x14ac:dyDescent="0.2">
      <c r="A216" s="47"/>
      <c r="B216" s="48" t="s">
        <v>861</v>
      </c>
      <c r="C216" s="474" t="str">
        <f>IF('add on application CONNECT'!B19="","not filled in",'add on application CONNECT'!B19)</f>
        <v>not filled in</v>
      </c>
      <c r="D216" s="670" t="str">
        <f>IF($C$101&gt;0,IF('add on application CONNECT'!B19="","entry mandatory",""),"")</f>
        <v>entry mandatory</v>
      </c>
      <c r="E216" s="491"/>
      <c r="F216" s="491"/>
      <c r="G216" s="491"/>
      <c r="H216" s="490">
        <f>IF(ISERROR(VLOOKUP(D216,Stammdaten!$G$2:$H$35,2,FALSE)),0,VLOOKUP(D216,Stammdaten!$G$2:$H$35,2,FALSE))</f>
        <v>1</v>
      </c>
      <c r="I216" s="491"/>
    </row>
    <row r="217" spans="1:9" s="49" customFormat="1" ht="14.25" hidden="1" customHeight="1" x14ac:dyDescent="0.2">
      <c r="A217" s="47"/>
      <c r="B217" s="48" t="s">
        <v>862</v>
      </c>
      <c r="C217" s="53" t="str">
        <f>IF('add on application CONNECT'!B20="","not filled in",'add on application CONNECT'!B20)</f>
        <v>not filled in</v>
      </c>
      <c r="D217" s="670" t="str">
        <f>IF($C$101&gt;0,IF('add on application CONNECT'!B20="","entry mandatory",""),"")</f>
        <v>entry mandatory</v>
      </c>
      <c r="E217" s="491"/>
      <c r="F217" s="491"/>
      <c r="G217" s="491"/>
      <c r="H217" s="490">
        <f>IF(ISERROR(VLOOKUP(D217,Stammdaten!$G$2:$H$35,2,FALSE)),0,VLOOKUP(D217,Stammdaten!$G$2:$H$35,2,FALSE))</f>
        <v>1</v>
      </c>
      <c r="I217" s="491"/>
    </row>
    <row r="218" spans="1:9" s="49" customFormat="1" ht="14.25" hidden="1" customHeight="1" x14ac:dyDescent="0.2">
      <c r="A218" s="47"/>
      <c r="B218" s="473" t="s">
        <v>863</v>
      </c>
      <c r="C218" s="53" t="str">
        <f>IF('add on application CONNECT'!B21="","not filled in",'add on application CONNECT'!B21)</f>
        <v>not filled in</v>
      </c>
      <c r="D218" s="670"/>
      <c r="E218" s="491"/>
      <c r="F218" s="491"/>
      <c r="G218" s="491"/>
      <c r="H218" s="490">
        <f>IF(ISERROR(VLOOKUP(D218,Stammdaten!$G$2:$H$35,2,FALSE)),0,VLOOKUP(D218,Stammdaten!$G$2:$H$35,2,FALSE))</f>
        <v>0</v>
      </c>
      <c r="I218" s="491"/>
    </row>
    <row r="219" spans="1:9" s="49" customFormat="1" ht="14.25" hidden="1" customHeight="1" x14ac:dyDescent="0.2">
      <c r="A219" s="47"/>
      <c r="B219" s="48" t="s">
        <v>864</v>
      </c>
      <c r="C219" s="53" t="str">
        <f>IF('add on application CONNECT'!B22="","not filled in",'add on application CONNECT'!B22)</f>
        <v>not filled in</v>
      </c>
      <c r="D219" s="670"/>
      <c r="E219" s="491"/>
      <c r="F219" s="491"/>
      <c r="G219" s="491"/>
      <c r="H219" s="490">
        <f>IF(ISERROR(VLOOKUP(D219,Stammdaten!$G$2:$H$35,2,FALSE)),0,VLOOKUP(D219,Stammdaten!$G$2:$H$35,2,FALSE))</f>
        <v>0</v>
      </c>
      <c r="I219" s="491"/>
    </row>
    <row r="220" spans="1:9" s="49" customFormat="1" ht="14.25" hidden="1" customHeight="1" x14ac:dyDescent="0.2">
      <c r="A220" s="47"/>
      <c r="B220" s="48" t="s">
        <v>865</v>
      </c>
      <c r="C220" s="53" t="str">
        <f>IF('add on application CONNECT'!B23="","not filled in",'add on application CONNECT'!B23)</f>
        <v>not filled in</v>
      </c>
      <c r="D220" s="670"/>
      <c r="E220" s="491"/>
      <c r="F220" s="491"/>
      <c r="G220" s="491"/>
      <c r="H220" s="490">
        <f>IF(ISERROR(VLOOKUP(D220,Stammdaten!$G$2:$H$35,2,FALSE)),0,VLOOKUP(D220,Stammdaten!$G$2:$H$35,2,FALSE))</f>
        <v>0</v>
      </c>
      <c r="I220" s="491"/>
    </row>
    <row r="221" spans="1:9" s="49" customFormat="1" ht="25.5" customHeight="1" x14ac:dyDescent="0.2">
      <c r="A221" s="57">
        <v>5</v>
      </c>
      <c r="B221" s="892" t="s">
        <v>1127</v>
      </c>
      <c r="C221" s="893" t="s">
        <v>989</v>
      </c>
      <c r="D221" s="702" t="str">
        <f>IF(C222="not filled in","The TISAX status of the contractor has to be filled at least","")</f>
        <v/>
      </c>
      <c r="E221" s="491"/>
      <c r="F221" s="491"/>
      <c r="G221" s="491"/>
      <c r="H221" s="896">
        <f>IF(SUM(H222:H244)&gt;0,1,0)</f>
        <v>0</v>
      </c>
      <c r="I221" s="491"/>
    </row>
    <row r="222" spans="1:9" s="49" customFormat="1" ht="27.75" customHeight="1" x14ac:dyDescent="0.2">
      <c r="A222" s="744"/>
      <c r="B222" s="894" t="str">
        <f>IF('status of TISAX assessment'!N6=1,'status of TISAX assessment'!$B$6&amp;" / 
"&amp;'status of TISAX assessment'!C6&amp;"; "&amp;'status of TISAX assessment'!F6&amp;"; "&amp;'status of TISAX assessment'!D6,"")</f>
        <v/>
      </c>
      <c r="C222" s="895" t="str">
        <f>IF('status of TISAX assessment'!N6=0,"",IF('status of TISAX assessment'!O6=0,"not filled in",'status of TISAX assessment'!I6))</f>
        <v/>
      </c>
      <c r="D222" s="897" t="str">
        <f>IF(C222="not filled in","please fill the TISAX status","")</f>
        <v/>
      </c>
      <c r="E222" s="491"/>
      <c r="F222" s="491"/>
      <c r="G222" s="491"/>
      <c r="H222" s="490">
        <f>IF(ISERROR(VLOOKUP(D222,Stammdaten!$G$2:$H$37,2,FALSE)),0,VLOOKUP(D222,Stammdaten!$G$2:$H$37,2,FALSE))</f>
        <v>0</v>
      </c>
      <c r="I222" s="491"/>
    </row>
    <row r="223" spans="1:9" s="49" customFormat="1" ht="15.75" hidden="1" customHeight="1" x14ac:dyDescent="0.2">
      <c r="A223" s="744"/>
      <c r="B223" s="894" t="str">
        <f>IF('status of TISAX assessment'!N7=1,'status of TISAX assessment'!B7&amp;" / 
"&amp;'status of TISAX assessment'!C7&amp;"; "&amp;'status of TISAX assessment'!F7&amp;"; "&amp;'status of TISAX assessment'!D7,"")</f>
        <v/>
      </c>
      <c r="C223" s="895" t="str">
        <f>IF('status of TISAX assessment'!N7=0,"",IF('status of TISAX assessment'!O7=0,"nicht befüllt",'status of TISAX assessment'!I7))</f>
        <v/>
      </c>
      <c r="D223" s="702" t="str">
        <f t="shared" ref="D223" si="2">IF(C223="not filled in","Please fill the TISAX status of the contractor at least","")</f>
        <v/>
      </c>
      <c r="E223" s="491"/>
      <c r="F223" s="491"/>
      <c r="G223" s="491"/>
      <c r="H223" s="490">
        <f>IF(ISERROR(VLOOKUP(D223,Stammdaten!$G$2:$H$37,2,FALSE)),0,VLOOKUP(D223,Stammdaten!$G$2:$H$37,2,FALSE))</f>
        <v>0</v>
      </c>
      <c r="I223" s="491"/>
    </row>
    <row r="224" spans="1:9" s="49" customFormat="1" ht="27.75" customHeight="1" x14ac:dyDescent="0.2">
      <c r="A224" s="744"/>
      <c r="B224" s="894" t="str">
        <f>IF('status of TISAX assessment'!N8=1,'status of TISAX assessment'!B8&amp;" / 
"&amp;'status of TISAX assessment'!C8&amp;"; "&amp;'status of TISAX assessment'!F8&amp;"; "&amp;'status of TISAX assessment'!D8,"")</f>
        <v/>
      </c>
      <c r="C224" s="70" t="str">
        <f>IF('status of TISAX assessment'!N8=0,"",IF('status of TISAX assessment'!O8=0,"not filled in",'status of TISAX assessment'!I8))</f>
        <v/>
      </c>
      <c r="D224" s="897" t="str">
        <f>IF(C224="not filled in","please fill the TISAX status","")</f>
        <v/>
      </c>
      <c r="E224" s="491"/>
      <c r="F224" s="491"/>
      <c r="G224" s="491"/>
      <c r="H224" s="490">
        <f>IF(ISERROR(VLOOKUP(D224,Stammdaten!$G$2:$H$37,2,FALSE)),0,VLOOKUP(D224,Stammdaten!$G$2:$H$37,2,FALSE))</f>
        <v>0</v>
      </c>
      <c r="I224" s="491"/>
    </row>
    <row r="225" spans="1:9" s="49" customFormat="1" ht="27.75" customHeight="1" x14ac:dyDescent="0.2">
      <c r="A225" s="744"/>
      <c r="B225" s="894" t="str">
        <f>IF('status of TISAX assessment'!N10=1,'status of TISAX assessment'!B10&amp;" / 
"&amp;'status of TISAX assessment'!C10&amp;"; "&amp;'status of TISAX assessment'!F10&amp;"; "&amp;'status of TISAX assessment'!D10,"")</f>
        <v/>
      </c>
      <c r="C225" s="895" t="str">
        <f>IF('status of TISAX assessment'!N10=0,"",IF('status of TISAX assessment'!O10=0,"not filled in",'status of TISAX assessment'!I10))</f>
        <v/>
      </c>
      <c r="D225" s="897" t="str">
        <f t="shared" ref="D225:D241" si="3">IF(C225="not filled in","please fill the TISAX status","")</f>
        <v/>
      </c>
      <c r="E225" s="491"/>
      <c r="F225" s="491"/>
      <c r="G225" s="491"/>
      <c r="H225" s="490">
        <f>IF(ISERROR(VLOOKUP(D225,Stammdaten!$G$2:$H$37,2,FALSE)),0,VLOOKUP(D225,Stammdaten!$G$2:$H$37,2,FALSE))</f>
        <v>0</v>
      </c>
      <c r="I225" s="491"/>
    </row>
    <row r="226" spans="1:9" s="49" customFormat="1" ht="21" customHeight="1" x14ac:dyDescent="0.2">
      <c r="A226" s="744"/>
      <c r="B226" s="894" t="str">
        <f>IF('status of TISAX assessment'!N11=1,'status of TISAX assessment'!B11&amp;" / 
"&amp;'status of TISAX assessment'!C11&amp;"; "&amp;'status of TISAX assessment'!F11&amp;"; "&amp;'status of TISAX assessment'!D11,"")</f>
        <v/>
      </c>
      <c r="C226" s="895" t="str">
        <f>IF('status of TISAX assessment'!N11=0,"",IF('status of TISAX assessment'!O11=0,"not filled in",'status of TISAX assessment'!I11))</f>
        <v/>
      </c>
      <c r="D226" s="897" t="str">
        <f t="shared" si="3"/>
        <v/>
      </c>
      <c r="E226" s="491"/>
      <c r="F226" s="491"/>
      <c r="G226" s="491"/>
      <c r="H226" s="490">
        <f>IF(ISERROR(VLOOKUP(D226,Stammdaten!$G$2:$H$37,2,FALSE)),0,VLOOKUP(D226,Stammdaten!$G$2:$H$37,2,FALSE))</f>
        <v>0</v>
      </c>
      <c r="I226" s="491"/>
    </row>
    <row r="227" spans="1:9" s="49" customFormat="1" ht="21" customHeight="1" x14ac:dyDescent="0.2">
      <c r="A227" s="744"/>
      <c r="B227" s="894" t="str">
        <f>IF('status of TISAX assessment'!N12=1,'status of TISAX assessment'!B12&amp;" / 
"&amp;'status of TISAX assessment'!C12&amp;"; "&amp;'status of TISAX assessment'!F12&amp;"; "&amp;'status of TISAX assessment'!D12,"")</f>
        <v/>
      </c>
      <c r="C227" s="895" t="str">
        <f>IF('status of TISAX assessment'!N12=0,"",IF('status of TISAX assessment'!O12=0,"not filled in",'status of TISAX assessment'!I12))</f>
        <v/>
      </c>
      <c r="D227" s="897" t="str">
        <f t="shared" si="3"/>
        <v/>
      </c>
      <c r="E227" s="491"/>
      <c r="F227" s="491"/>
      <c r="G227" s="491"/>
      <c r="H227" s="490">
        <f>IF(ISERROR(VLOOKUP(D227,Stammdaten!$G$2:$H$37,2,FALSE)),0,VLOOKUP(D227,Stammdaten!$G$2:$H$37,2,FALSE))</f>
        <v>0</v>
      </c>
      <c r="I227" s="491"/>
    </row>
    <row r="228" spans="1:9" s="49" customFormat="1" ht="21" customHeight="1" x14ac:dyDescent="0.2">
      <c r="A228" s="744"/>
      <c r="B228" s="894" t="str">
        <f>IF('status of TISAX assessment'!N13=1,'status of TISAX assessment'!B13&amp;" / 
"&amp;'status of TISAX assessment'!C13&amp;"; "&amp;'status of TISAX assessment'!F13&amp;"; "&amp;'status of TISAX assessment'!D13,"")</f>
        <v/>
      </c>
      <c r="C228" s="895" t="str">
        <f>IF('status of TISAX assessment'!N13=0,"",IF('status of TISAX assessment'!O13=0,"not filled in",'status of TISAX assessment'!I13))</f>
        <v/>
      </c>
      <c r="D228" s="897" t="str">
        <f t="shared" si="3"/>
        <v/>
      </c>
      <c r="E228" s="491"/>
      <c r="F228" s="491"/>
      <c r="G228" s="491"/>
      <c r="H228" s="490">
        <f>IF(ISERROR(VLOOKUP(D228,Stammdaten!$G$2:$H$37,2,FALSE)),0,VLOOKUP(D228,Stammdaten!$G$2:$H$37,2,FALSE))</f>
        <v>0</v>
      </c>
      <c r="I228" s="491"/>
    </row>
    <row r="229" spans="1:9" s="49" customFormat="1" ht="21" customHeight="1" x14ac:dyDescent="0.2">
      <c r="A229" s="744"/>
      <c r="B229" s="894" t="str">
        <f>IF('status of TISAX assessment'!N14=1,'status of TISAX assessment'!B14&amp;" / 
"&amp;'status of TISAX assessment'!C14&amp;"; "&amp;'status of TISAX assessment'!F14&amp;"; "&amp;'status of TISAX assessment'!D14,"")</f>
        <v/>
      </c>
      <c r="C229" s="895" t="str">
        <f>IF('status of TISAX assessment'!N14=0,"",IF('status of TISAX assessment'!O14=0,"not filled in",'status of TISAX assessment'!I14))</f>
        <v/>
      </c>
      <c r="D229" s="897" t="str">
        <f t="shared" si="3"/>
        <v/>
      </c>
      <c r="E229" s="491"/>
      <c r="F229" s="491"/>
      <c r="G229" s="491"/>
      <c r="H229" s="490">
        <f>IF(ISERROR(VLOOKUP(D229,Stammdaten!$G$2:$H$37,2,FALSE)),0,VLOOKUP(D229,Stammdaten!$G$2:$H$37,2,FALSE))</f>
        <v>0</v>
      </c>
      <c r="I229" s="491"/>
    </row>
    <row r="230" spans="1:9" s="49" customFormat="1" ht="21" customHeight="1" x14ac:dyDescent="0.2">
      <c r="A230" s="744"/>
      <c r="B230" s="894" t="str">
        <f>IF('status of TISAX assessment'!N15=1,'status of TISAX assessment'!B15&amp;" / 
"&amp;'status of TISAX assessment'!C15&amp;"; "&amp;'status of TISAX assessment'!F15&amp;"; "&amp;'status of TISAX assessment'!D15,"")</f>
        <v/>
      </c>
      <c r="C230" s="895" t="str">
        <f>IF('status of TISAX assessment'!N15=0,"",IF('status of TISAX assessment'!O15=0,"not filled in",'status of TISAX assessment'!I15))</f>
        <v/>
      </c>
      <c r="D230" s="897" t="str">
        <f t="shared" si="3"/>
        <v/>
      </c>
      <c r="E230" s="491"/>
      <c r="F230" s="491"/>
      <c r="G230" s="491"/>
      <c r="H230" s="490">
        <f>IF(ISERROR(VLOOKUP(D230,Stammdaten!$G$2:$H$37,2,FALSE)),0,VLOOKUP(D230,Stammdaten!$G$2:$H$37,2,FALSE))</f>
        <v>0</v>
      </c>
      <c r="I230" s="491"/>
    </row>
    <row r="231" spans="1:9" s="49" customFormat="1" ht="21" customHeight="1" x14ac:dyDescent="0.2">
      <c r="A231" s="744"/>
      <c r="B231" s="894" t="str">
        <f>IF('status of TISAX assessment'!N16=1,'status of TISAX assessment'!B16&amp;" / 
"&amp;'status of TISAX assessment'!C16&amp;"; "&amp;'status of TISAX assessment'!F16&amp;"; "&amp;'status of TISAX assessment'!D16,"")</f>
        <v/>
      </c>
      <c r="C231" s="895" t="str">
        <f>IF('status of TISAX assessment'!N16=0,"",IF('status of TISAX assessment'!O16=0,"not filled in",'status of TISAX assessment'!I16))</f>
        <v/>
      </c>
      <c r="D231" s="897" t="str">
        <f t="shared" si="3"/>
        <v/>
      </c>
      <c r="E231" s="491"/>
      <c r="F231" s="491"/>
      <c r="G231" s="491"/>
      <c r="H231" s="490">
        <f>IF(ISERROR(VLOOKUP(D231,Stammdaten!$G$2:$H$37,2,FALSE)),0,VLOOKUP(D231,Stammdaten!$G$2:$H$37,2,FALSE))</f>
        <v>0</v>
      </c>
      <c r="I231" s="491"/>
    </row>
    <row r="232" spans="1:9" s="49" customFormat="1" ht="21" customHeight="1" x14ac:dyDescent="0.2">
      <c r="A232" s="744"/>
      <c r="B232" s="894" t="str">
        <f>IF('status of TISAX assessment'!N17=1,'status of TISAX assessment'!B17&amp;" / 
"&amp;'status of TISAX assessment'!C17&amp;"; "&amp;'status of TISAX assessment'!F17&amp;"; "&amp;'status of TISAX assessment'!D17,"")</f>
        <v/>
      </c>
      <c r="C232" s="895" t="str">
        <f>IF('status of TISAX assessment'!N17=0,"",IF('status of TISAX assessment'!O17=0,"not filled in",'status of TISAX assessment'!I17))</f>
        <v/>
      </c>
      <c r="D232" s="897" t="str">
        <f t="shared" si="3"/>
        <v/>
      </c>
      <c r="E232" s="491"/>
      <c r="F232" s="491"/>
      <c r="G232" s="491"/>
      <c r="H232" s="490">
        <f>IF(ISERROR(VLOOKUP(D232,Stammdaten!$G$2:$H$37,2,FALSE)),0,VLOOKUP(D232,Stammdaten!$G$2:$H$37,2,FALSE))</f>
        <v>0</v>
      </c>
      <c r="I232" s="491"/>
    </row>
    <row r="233" spans="1:9" s="49" customFormat="1" ht="21" customHeight="1" x14ac:dyDescent="0.2">
      <c r="A233" s="744"/>
      <c r="B233" s="894" t="str">
        <f>IF('status of TISAX assessment'!N18=1,'status of TISAX assessment'!B18&amp;" / 
"&amp;'status of TISAX assessment'!C18&amp;"; "&amp;'status of TISAX assessment'!F18&amp;"; "&amp;'status of TISAX assessment'!D18,"")</f>
        <v/>
      </c>
      <c r="C233" s="895" t="str">
        <f>IF('status of TISAX assessment'!N18=0,"",IF('status of TISAX assessment'!O18=0,"not filled in",'status of TISAX assessment'!I18))</f>
        <v/>
      </c>
      <c r="D233" s="897" t="str">
        <f t="shared" si="3"/>
        <v/>
      </c>
      <c r="E233" s="491"/>
      <c r="F233" s="491"/>
      <c r="G233" s="491"/>
      <c r="H233" s="490">
        <f>IF(ISERROR(VLOOKUP(D233,Stammdaten!$G$2:$H$37,2,FALSE)),0,VLOOKUP(D233,Stammdaten!$G$2:$H$37,2,FALSE))</f>
        <v>0</v>
      </c>
      <c r="I233" s="491"/>
    </row>
    <row r="234" spans="1:9" s="49" customFormat="1" ht="21" customHeight="1" x14ac:dyDescent="0.2">
      <c r="A234" s="744"/>
      <c r="B234" s="894" t="str">
        <f>IF('status of TISAX assessment'!N19=1,'status of TISAX assessment'!B19&amp;" / 
"&amp;'status of TISAX assessment'!C19&amp;"; "&amp;'status of TISAX assessment'!F19&amp;"; "&amp;'status of TISAX assessment'!D19,"")</f>
        <v/>
      </c>
      <c r="C234" s="895" t="str">
        <f>IF('status of TISAX assessment'!N19=0,"",IF('status of TISAX assessment'!O19=0,"not filled in",'status of TISAX assessment'!I19))</f>
        <v/>
      </c>
      <c r="D234" s="897" t="str">
        <f t="shared" si="3"/>
        <v/>
      </c>
      <c r="E234" s="491"/>
      <c r="F234" s="491"/>
      <c r="G234" s="491"/>
      <c r="H234" s="490">
        <f>IF(ISERROR(VLOOKUP(D234,Stammdaten!$G$2:$H$37,2,FALSE)),0,VLOOKUP(D234,Stammdaten!$G$2:$H$37,2,FALSE))</f>
        <v>0</v>
      </c>
      <c r="I234" s="491"/>
    </row>
    <row r="235" spans="1:9" s="49" customFormat="1" ht="21" customHeight="1" x14ac:dyDescent="0.2">
      <c r="A235" s="744"/>
      <c r="B235" s="894" t="str">
        <f>IF('status of TISAX assessment'!N20=1,'status of TISAX assessment'!B20&amp;" / 
"&amp;'status of TISAX assessment'!C20&amp;"; "&amp;'status of TISAX assessment'!F20&amp;"; "&amp;'status of TISAX assessment'!D20,"")</f>
        <v/>
      </c>
      <c r="C235" s="895" t="str">
        <f>IF('status of TISAX assessment'!N20=0,"",IF('status of TISAX assessment'!O20=0,"not filled in",'status of TISAX assessment'!I20))</f>
        <v/>
      </c>
      <c r="D235" s="897" t="str">
        <f t="shared" si="3"/>
        <v/>
      </c>
      <c r="E235" s="491"/>
      <c r="F235" s="491"/>
      <c r="G235" s="491"/>
      <c r="H235" s="490">
        <f>IF(ISERROR(VLOOKUP(D235,Stammdaten!$G$2:$H$37,2,FALSE)),0,VLOOKUP(D235,Stammdaten!$G$2:$H$37,2,FALSE))</f>
        <v>0</v>
      </c>
      <c r="I235" s="491"/>
    </row>
    <row r="236" spans="1:9" s="49" customFormat="1" ht="21" customHeight="1" x14ac:dyDescent="0.2">
      <c r="A236" s="744"/>
      <c r="B236" s="894" t="str">
        <f>IF('status of TISAX assessment'!N21=1,'status of TISAX assessment'!B21&amp;" / 
"&amp;'status of TISAX assessment'!C21&amp;"; "&amp;'status of TISAX assessment'!F21&amp;"; "&amp;'status of TISAX assessment'!D21,"")</f>
        <v/>
      </c>
      <c r="C236" s="895" t="str">
        <f>IF('status of TISAX assessment'!N21=0,"",IF('status of TISAX assessment'!O21=0,"not filled in",'status of TISAX assessment'!I21))</f>
        <v/>
      </c>
      <c r="D236" s="897" t="str">
        <f t="shared" si="3"/>
        <v/>
      </c>
      <c r="E236" s="491"/>
      <c r="F236" s="491"/>
      <c r="G236" s="491"/>
      <c r="H236" s="490">
        <f>IF(ISERROR(VLOOKUP(D236,Stammdaten!$G$2:$H$37,2,FALSE)),0,VLOOKUP(D236,Stammdaten!$G$2:$H$37,2,FALSE))</f>
        <v>0</v>
      </c>
      <c r="I236" s="491"/>
    </row>
    <row r="237" spans="1:9" s="49" customFormat="1" ht="21" customHeight="1" x14ac:dyDescent="0.2">
      <c r="A237" s="744"/>
      <c r="B237" s="894" t="str">
        <f>IF('status of TISAX assessment'!N22=1,'status of TISAX assessment'!B22&amp;" / 
"&amp;'status of TISAX assessment'!C22&amp;"; "&amp;'status of TISAX assessment'!F22&amp;"; "&amp;'status of TISAX assessment'!D22,"")</f>
        <v/>
      </c>
      <c r="C237" s="895" t="str">
        <f>IF('status of TISAX assessment'!N22=0,"",IF('status of TISAX assessment'!O22=0,"not filled in",'status of TISAX assessment'!I22))</f>
        <v/>
      </c>
      <c r="D237" s="897" t="str">
        <f t="shared" si="3"/>
        <v/>
      </c>
      <c r="E237" s="491"/>
      <c r="F237" s="491"/>
      <c r="G237" s="491"/>
      <c r="H237" s="490">
        <f>IF(ISERROR(VLOOKUP(D237,Stammdaten!$G$2:$H$37,2,FALSE)),0,VLOOKUP(D237,Stammdaten!$G$2:$H$37,2,FALSE))</f>
        <v>0</v>
      </c>
      <c r="I237" s="491"/>
    </row>
    <row r="238" spans="1:9" s="49" customFormat="1" ht="21" customHeight="1" x14ac:dyDescent="0.2">
      <c r="A238" s="744"/>
      <c r="B238" s="894" t="str">
        <f>IF('status of TISAX assessment'!N23=1,'status of TISAX assessment'!B23&amp;" / 
"&amp;'status of TISAX assessment'!C23&amp;"; "&amp;'status of TISAX assessment'!F23&amp;"; "&amp;'status of TISAX assessment'!D23,"")</f>
        <v/>
      </c>
      <c r="C238" s="895" t="str">
        <f>IF('status of TISAX assessment'!N23=0,"",IF('status of TISAX assessment'!O23=0,"not filled in",'status of TISAX assessment'!I23))</f>
        <v/>
      </c>
      <c r="D238" s="897" t="str">
        <f t="shared" si="3"/>
        <v/>
      </c>
      <c r="E238" s="491"/>
      <c r="F238" s="491"/>
      <c r="G238" s="491"/>
      <c r="H238" s="490">
        <f>IF(ISERROR(VLOOKUP(D238,Stammdaten!$G$2:$H$37,2,FALSE)),0,VLOOKUP(D238,Stammdaten!$G$2:$H$37,2,FALSE))</f>
        <v>0</v>
      </c>
      <c r="I238" s="491"/>
    </row>
    <row r="239" spans="1:9" s="49" customFormat="1" ht="21" customHeight="1" x14ac:dyDescent="0.2">
      <c r="A239" s="744"/>
      <c r="B239" s="894" t="str">
        <f>IF('status of TISAX assessment'!N24=1,'status of TISAX assessment'!B24&amp;" / 
"&amp;'status of TISAX assessment'!C24&amp;"; "&amp;'status of TISAX assessment'!F24&amp;"; "&amp;'status of TISAX assessment'!D24,"")</f>
        <v/>
      </c>
      <c r="C239" s="895" t="str">
        <f>IF('status of TISAX assessment'!N24=0,"",IF('status of TISAX assessment'!O24=0,"not filled in",'status of TISAX assessment'!I24))</f>
        <v/>
      </c>
      <c r="D239" s="897" t="str">
        <f t="shared" si="3"/>
        <v/>
      </c>
      <c r="E239" s="491"/>
      <c r="F239" s="491"/>
      <c r="G239" s="491"/>
      <c r="H239" s="490">
        <f>IF(ISERROR(VLOOKUP(D239,Stammdaten!$G$2:$H$37,2,FALSE)),0,VLOOKUP(D239,Stammdaten!$G$2:$H$37,2,FALSE))</f>
        <v>0</v>
      </c>
      <c r="I239" s="491"/>
    </row>
    <row r="240" spans="1:9" s="49" customFormat="1" ht="21" customHeight="1" x14ac:dyDescent="0.2">
      <c r="A240" s="744"/>
      <c r="B240" s="894" t="str">
        <f>IF('status of TISAX assessment'!N25=1,'status of TISAX assessment'!B25&amp;" / 
"&amp;'status of TISAX assessment'!C25&amp;"; "&amp;'status of TISAX assessment'!F25&amp;"; "&amp;'status of TISAX assessment'!D25,"")</f>
        <v/>
      </c>
      <c r="C240" s="895" t="str">
        <f>IF('status of TISAX assessment'!N25=0,"",IF('status of TISAX assessment'!O25=0,"not filled in",'status of TISAX assessment'!I25))</f>
        <v/>
      </c>
      <c r="D240" s="897" t="str">
        <f t="shared" si="3"/>
        <v/>
      </c>
      <c r="E240" s="491"/>
      <c r="F240" s="491"/>
      <c r="G240" s="491"/>
      <c r="H240" s="490">
        <f>IF(ISERROR(VLOOKUP(D240,Stammdaten!$G$2:$H$37,2,FALSE)),0,VLOOKUP(D240,Stammdaten!$G$2:$H$37,2,FALSE))</f>
        <v>0</v>
      </c>
      <c r="I240" s="491"/>
    </row>
    <row r="241" spans="1:9" s="49" customFormat="1" ht="21" customHeight="1" x14ac:dyDescent="0.2">
      <c r="A241" s="744"/>
      <c r="B241" s="894" t="str">
        <f>IF('status of TISAX assessment'!N26=1,'status of TISAX assessment'!B26&amp;" / 
"&amp;'status of TISAX assessment'!C26&amp;"; "&amp;'status of TISAX assessment'!F26&amp;"; "&amp;'status of TISAX assessment'!D26,"")</f>
        <v/>
      </c>
      <c r="C241" s="895" t="str">
        <f>IF('status of TISAX assessment'!N26=0,"",IF('status of TISAX assessment'!O26=0,"not filled in",'status of TISAX assessment'!I26))</f>
        <v/>
      </c>
      <c r="D241" s="897" t="str">
        <f t="shared" si="3"/>
        <v/>
      </c>
      <c r="E241" s="491"/>
      <c r="F241" s="491"/>
      <c r="G241" s="491"/>
      <c r="H241" s="490">
        <f>IF(ISERROR(VLOOKUP(D241,Stammdaten!$G$2:$H$37,2,FALSE)),0,VLOOKUP(D241,Stammdaten!$G$2:$H$37,2,FALSE))</f>
        <v>0</v>
      </c>
      <c r="I241" s="491"/>
    </row>
    <row r="242" spans="1:9" s="49" customFormat="1" ht="21" customHeight="1" x14ac:dyDescent="0.2">
      <c r="A242" s="744"/>
      <c r="B242" s="894" t="str">
        <f>IF('status of TISAX assessment'!N27=1,'status of TISAX assessment'!B27&amp;" / 
"&amp;'status of TISAX assessment'!C27&amp;"; "&amp;'status of TISAX assessment'!F27&amp;"; "&amp;'status of TISAX assessment'!D27,"")</f>
        <v/>
      </c>
      <c r="C242" s="895" t="str">
        <f>IF('status of TISAX assessment'!N27=0,"",IF('status of TISAX assessment'!O27=0,"not filled in",'status of TISAX assessment'!I27))</f>
        <v/>
      </c>
      <c r="D242" s="897" t="str">
        <f t="shared" ref="D242:D244" si="4">IF(C242="not filled in","please fill the TISAX status","")</f>
        <v/>
      </c>
      <c r="E242" s="491"/>
      <c r="F242" s="491"/>
      <c r="G242" s="491"/>
      <c r="H242" s="490">
        <f>IF(ISERROR(VLOOKUP(D242,Stammdaten!$G$2:$H$37,2,FALSE)),0,VLOOKUP(D242,Stammdaten!$G$2:$H$37,2,FALSE))</f>
        <v>0</v>
      </c>
      <c r="I242" s="491"/>
    </row>
    <row r="243" spans="1:9" s="49" customFormat="1" ht="21" customHeight="1" x14ac:dyDescent="0.2">
      <c r="A243" s="744"/>
      <c r="B243" s="894" t="str">
        <f>IF('status of TISAX assessment'!N28=1,'status of TISAX assessment'!B28&amp;" / 
"&amp;'status of TISAX assessment'!C28&amp;"; "&amp;'status of TISAX assessment'!F28&amp;"; "&amp;'status of TISAX assessment'!D28,"")</f>
        <v/>
      </c>
      <c r="C243" s="895" t="str">
        <f>IF('status of TISAX assessment'!N28=0,"",IF('status of TISAX assessment'!O28=0,"not filled in",'status of TISAX assessment'!I28))</f>
        <v/>
      </c>
      <c r="D243" s="897" t="str">
        <f t="shared" si="4"/>
        <v/>
      </c>
      <c r="E243" s="491"/>
      <c r="F243" s="491"/>
      <c r="G243" s="491"/>
      <c r="H243" s="490">
        <f>IF(ISERROR(VLOOKUP(D243,Stammdaten!$G$2:$H$37,2,FALSE)),0,VLOOKUP(D243,Stammdaten!$G$2:$H$37,2,FALSE))</f>
        <v>0</v>
      </c>
      <c r="I243" s="491"/>
    </row>
    <row r="244" spans="1:9" s="49" customFormat="1" ht="21" customHeight="1" x14ac:dyDescent="0.2">
      <c r="A244" s="744"/>
      <c r="B244" s="894" t="str">
        <f>IF('status of TISAX assessment'!N29=1,'status of TISAX assessment'!B29&amp;" / 
"&amp;'status of TISAX assessment'!C29&amp;"; "&amp;'status of TISAX assessment'!F29&amp;"; "&amp;'status of TISAX assessment'!D29,"")</f>
        <v/>
      </c>
      <c r="C244" s="895" t="str">
        <f>IF('status of TISAX assessment'!N29=0,"",IF('status of TISAX assessment'!O29=0,"not filled in",'status of TISAX assessment'!I29))</f>
        <v/>
      </c>
      <c r="D244" s="897" t="str">
        <f t="shared" si="4"/>
        <v/>
      </c>
      <c r="E244" s="491"/>
      <c r="F244" s="491"/>
      <c r="G244" s="491"/>
      <c r="H244" s="490">
        <f>IF(ISERROR(VLOOKUP(D244,Stammdaten!$G$2:$H$37,2,FALSE)),0,VLOOKUP(D244,Stammdaten!$G$2:$H$37,2,FALSE))</f>
        <v>0</v>
      </c>
      <c r="I244" s="491"/>
    </row>
    <row r="245" spans="1:9" s="49" customFormat="1" ht="14.25" customHeight="1" x14ac:dyDescent="0.2">
      <c r="A245" s="47"/>
      <c r="B245" s="227"/>
      <c r="C245" s="891"/>
      <c r="D245" s="702"/>
      <c r="E245" s="491"/>
      <c r="F245" s="491"/>
      <c r="G245" s="491"/>
      <c r="H245" s="490">
        <f>IF(ISERROR(VLOOKUP(D245,Stammdaten!$G$2:$H$35,2,FALSE)),0,VLOOKUP(D245,Stammdaten!$G$2:$H$35,2,FALSE))</f>
        <v>0</v>
      </c>
      <c r="I245" s="491"/>
    </row>
    <row r="246" spans="1:9" ht="33" customHeight="1" x14ac:dyDescent="0.25">
      <c r="D246" s="679"/>
    </row>
    <row r="247" spans="1:9" ht="36" hidden="1" customHeight="1" thickBot="1" x14ac:dyDescent="0.3">
      <c r="B247" s="416" t="s">
        <v>784</v>
      </c>
      <c r="C247" s="372" t="str">
        <f>HYPERLINK("mailto:"&amp;$E$252&amp;"&amp;subject="&amp;$E$253&amp;"&amp;body="&amp;$E$254&amp;"%0A%0A"&amp;$E$255&amp;"%0A%0A"&amp;$E$256&amp;"","Rücksendung an csn.service@o-s.de")</f>
        <v>Rücksendung an csn.service@o-s.de</v>
      </c>
      <c r="D247" s="679"/>
    </row>
    <row r="248" spans="1:9" ht="47.25" hidden="1" customHeight="1" x14ac:dyDescent="0.25">
      <c r="D248" s="679"/>
    </row>
    <row r="249" spans="1:9" ht="102.75" customHeight="1" x14ac:dyDescent="0.2">
      <c r="A249" s="57">
        <v>5</v>
      </c>
      <c r="B249" s="1060" t="s">
        <v>970</v>
      </c>
      <c r="C249" s="1061"/>
      <c r="D249" s="680"/>
    </row>
    <row r="250" spans="1:9" ht="33.75" customHeight="1" x14ac:dyDescent="0.25">
      <c r="B250" s="417" t="s">
        <v>899</v>
      </c>
      <c r="C250" s="788" t="str">
        <f>IF('company data'!P63=2,"For a contract preview additional data are needed. Further clarification will be done outside of this document after return of the filled CSN shortlist","")</f>
        <v/>
      </c>
      <c r="D250" s="679"/>
    </row>
    <row r="251" spans="1:9" x14ac:dyDescent="0.25">
      <c r="B251" s="473" t="s">
        <v>904</v>
      </c>
      <c r="C251" s="128" t="str">
        <f>IF('company data'!P63=2,"no evaluation possible yet",IF(applications!$C$6="","selection of brand 1 is pendign",IF(Hilfsblatt_Vertragsvorschau!C26="",IF(Hilfsblatt_Vertragsvorschau!D26="","-","x"),"x")))</f>
        <v>selection of brand 1 is pendign</v>
      </c>
      <c r="D251" s="679"/>
      <c r="E251" s="126"/>
    </row>
    <row r="252" spans="1:9" ht="21" customHeight="1" x14ac:dyDescent="0.25">
      <c r="B252" s="473" t="s">
        <v>905</v>
      </c>
      <c r="C252" s="128" t="str">
        <f>IF('company data'!P63=2,"no evaluation possible yet",IF(applications!$C$6="","selection of brand 1 is pending",IF(Hilfsblatt_Vertragsvorschau!C27="",IF(Hilfsblatt_Vertragsvorschau!D27="","-","x"),"x")))</f>
        <v>selection of brand 1 is pending</v>
      </c>
      <c r="D252" s="681" t="str">
        <f>IF(Hilfsblatt_Vertragsvorschau!C37="Zweitvertrag","(CSN Zweitvertrag)","")</f>
        <v/>
      </c>
      <c r="E252" s="127" t="s">
        <v>672</v>
      </c>
    </row>
    <row r="253" spans="1:9" ht="12" customHeight="1" x14ac:dyDescent="0.25">
      <c r="D253" s="679"/>
      <c r="E253" s="126" t="s">
        <v>906</v>
      </c>
    </row>
    <row r="254" spans="1:9" ht="14.25" customHeight="1" x14ac:dyDescent="0.25">
      <c r="B254" s="417" t="s">
        <v>900</v>
      </c>
      <c r="D254" s="679"/>
      <c r="E254" s="126" t="s">
        <v>907</v>
      </c>
    </row>
    <row r="255" spans="1:9" ht="19.5" customHeight="1" x14ac:dyDescent="0.25">
      <c r="B255" s="473" t="s">
        <v>901</v>
      </c>
      <c r="C255" s="128" t="str">
        <f>IF('company data'!P63=2,"no evaluation possible yet",IF(applications!D63=2,"x","-"))</f>
        <v>-</v>
      </c>
      <c r="D255" s="679"/>
      <c r="E255" s="126" t="s">
        <v>908</v>
      </c>
    </row>
    <row r="256" spans="1:9" ht="19.5" customHeight="1" x14ac:dyDescent="0.25">
      <c r="B256" s="473" t="s">
        <v>902</v>
      </c>
      <c r="C256" s="128" t="str">
        <f>IF('company data'!P63=2,"no evaluation possible yet",IF(applications!D63=1,"x","-"))</f>
        <v>-</v>
      </c>
      <c r="D256" s="679"/>
      <c r="E256" s="126" t="s">
        <v>909</v>
      </c>
    </row>
    <row r="257" spans="1:5" ht="20.25" customHeight="1" x14ac:dyDescent="0.25">
      <c r="B257" s="473" t="s">
        <v>903</v>
      </c>
      <c r="C257" s="128" t="str">
        <f>IF('company data'!P63=2,"no evaluation possible yet",IF(applications!D63=0,"x","-"))</f>
        <v>-</v>
      </c>
      <c r="D257" s="679"/>
      <c r="E257" s="126"/>
    </row>
    <row r="258" spans="1:5" ht="8.25" customHeight="1" x14ac:dyDescent="0.25">
      <c r="E258" s="126"/>
    </row>
    <row r="259" spans="1:5" ht="9" customHeight="1" x14ac:dyDescent="0.25">
      <c r="E259" s="126"/>
    </row>
    <row r="260" spans="1:5" ht="9" customHeight="1" x14ac:dyDescent="0.25">
      <c r="E260" s="126"/>
    </row>
    <row r="261" spans="1:5" ht="9" customHeight="1" x14ac:dyDescent="0.25"/>
    <row r="262" spans="1:5" x14ac:dyDescent="0.25">
      <c r="C262" s="909"/>
    </row>
    <row r="263" spans="1:5" ht="35.25" customHeight="1" x14ac:dyDescent="0.2">
      <c r="A263" s="1063" t="s">
        <v>961</v>
      </c>
      <c r="B263" s="1064"/>
      <c r="C263" s="910" t="s">
        <v>1131</v>
      </c>
    </row>
    <row r="271" spans="1:5" hidden="1" x14ac:dyDescent="0.25"/>
    <row r="272" spans="1:5" hidden="1" x14ac:dyDescent="0.25"/>
    <row r="273" spans="1:11" hidden="1" x14ac:dyDescent="0.25"/>
    <row r="274" spans="1:11" hidden="1" x14ac:dyDescent="0.25">
      <c r="B274" s="344" t="s">
        <v>745</v>
      </c>
      <c r="C274" s="345"/>
      <c r="D274" s="346"/>
      <c r="E274" s="495"/>
      <c r="F274" s="495"/>
      <c r="G274" s="495"/>
      <c r="H274" s="495"/>
      <c r="I274" s="495"/>
    </row>
    <row r="275" spans="1:11" hidden="1" x14ac:dyDescent="0.25">
      <c r="B275" s="344" t="s">
        <v>738</v>
      </c>
      <c r="C275" s="345"/>
      <c r="D275" s="346"/>
      <c r="E275" s="495"/>
      <c r="F275" s="495"/>
      <c r="G275" s="495"/>
      <c r="H275" s="495"/>
      <c r="I275" s="495"/>
    </row>
    <row r="276" spans="1:11" s="342" customFormat="1" ht="15.75" hidden="1" customHeight="1" x14ac:dyDescent="0.2">
      <c r="A276" s="343"/>
      <c r="B276" s="347"/>
      <c r="C276" s="347"/>
      <c r="D276" s="347" t="str">
        <f>'contact persons VW Group'!D10</f>
        <v>Title</v>
      </c>
      <c r="E276" s="496" t="str">
        <f>'contact persons VW Group'!E10</f>
        <v>Surname</v>
      </c>
      <c r="F276" s="496" t="str">
        <f>'contact persons VW Group'!F10</f>
        <v>First name</v>
      </c>
      <c r="G276" s="496" t="str">
        <f>'contact persons VW Group'!G10</f>
        <v>e-mail-address</v>
      </c>
      <c r="H276" s="496" t="str">
        <f>'contact persons VW Group'!H10</f>
        <v>approving department of VW Group</v>
      </c>
      <c r="I276" s="496" t="str">
        <f>'contact persons VW Group'!I10</f>
        <v>phone</v>
      </c>
      <c r="J276" s="342">
        <f>'contact persons VW Group'!J10</f>
        <v>0</v>
      </c>
      <c r="K276" s="342">
        <f>'contact persons VW Group'!K10</f>
        <v>0</v>
      </c>
    </row>
    <row r="277" spans="1:11" s="342" customFormat="1" ht="15.75" hidden="1" customHeight="1" x14ac:dyDescent="0.2">
      <c r="A277" s="343"/>
      <c r="B277" s="347" t="str">
        <f>'contact persons VW Group'!B11</f>
        <v>HyperKVS</v>
      </c>
      <c r="C277" s="347" t="str">
        <f>'contact persons VW Group'!C11</f>
        <v/>
      </c>
      <c r="D277" s="347">
        <f>'contact persons VW Group'!D11</f>
        <v>0</v>
      </c>
      <c r="E277" s="496">
        <f>'contact persons VW Group'!E11</f>
        <v>0</v>
      </c>
      <c r="F277" s="496">
        <f>'contact persons VW Group'!F11</f>
        <v>0</v>
      </c>
      <c r="G277" s="496">
        <f>'contact persons VW Group'!G11</f>
        <v>0</v>
      </c>
      <c r="H277" s="496">
        <f>'contact persons VW Group'!H11</f>
        <v>0</v>
      </c>
      <c r="I277" s="496">
        <f>'contact persons VW Group'!I11</f>
        <v>0</v>
      </c>
    </row>
    <row r="278" spans="1:11" s="342" customFormat="1" ht="15.75" hidden="1" customHeight="1" x14ac:dyDescent="0.2">
      <c r="A278" s="343"/>
      <c r="B278" s="347" t="str">
        <f>'contact persons VW Group'!B12</f>
        <v>CONNECT</v>
      </c>
      <c r="C278" s="347" t="str">
        <f>'contact persons VW Group'!C12</f>
        <v/>
      </c>
      <c r="D278" s="347">
        <f>'contact persons VW Group'!D12</f>
        <v>0</v>
      </c>
      <c r="E278" s="496">
        <f>'contact persons VW Group'!E12</f>
        <v>0</v>
      </c>
      <c r="F278" s="496">
        <f>'contact persons VW Group'!F12</f>
        <v>0</v>
      </c>
      <c r="G278" s="496">
        <f>'contact persons VW Group'!G12</f>
        <v>0</v>
      </c>
      <c r="H278" s="496">
        <f>'contact persons VW Group'!H12</f>
        <v>0</v>
      </c>
      <c r="I278" s="496">
        <f>'contact persons VW Group'!I12</f>
        <v>0</v>
      </c>
    </row>
    <row r="279" spans="1:11" s="342" customFormat="1" ht="15.75" hidden="1" customHeight="1" x14ac:dyDescent="0.2">
      <c r="A279" s="343"/>
      <c r="B279" s="347" t="str">
        <f>'contact persons VW Group'!B13</f>
        <v>VW DMS</v>
      </c>
      <c r="C279" s="347" t="str">
        <f>'contact persons VW Group'!C13</f>
        <v/>
      </c>
      <c r="D279" s="347">
        <f>'contact persons VW Group'!D13</f>
        <v>0</v>
      </c>
      <c r="E279" s="496">
        <f>'contact persons VW Group'!E13</f>
        <v>0</v>
      </c>
      <c r="F279" s="496">
        <f>'contact persons VW Group'!F13</f>
        <v>0</v>
      </c>
      <c r="G279" s="496">
        <f>'contact persons VW Group'!G13</f>
        <v>0</v>
      </c>
      <c r="H279" s="496">
        <f>'contact persons VW Group'!H13</f>
        <v>0</v>
      </c>
      <c r="I279" s="496">
        <f>'contact persons VW Group'!I13</f>
        <v>0</v>
      </c>
    </row>
    <row r="280" spans="1:11" s="342" customFormat="1" ht="15.75" hidden="1" customHeight="1" x14ac:dyDescent="0.2">
      <c r="A280" s="343"/>
      <c r="B280" s="347" t="str">
        <f>'contact persons VW Group'!B14</f>
        <v>ECA</v>
      </c>
      <c r="C280" s="347" t="str">
        <f>'contact persons VW Group'!C14</f>
        <v/>
      </c>
      <c r="D280" s="347">
        <f>'contact persons VW Group'!D14</f>
        <v>0</v>
      </c>
      <c r="E280" s="496">
        <f>'contact persons VW Group'!E14</f>
        <v>0</v>
      </c>
      <c r="F280" s="496">
        <f>'contact persons VW Group'!F14</f>
        <v>0</v>
      </c>
      <c r="G280" s="496">
        <f>'contact persons VW Group'!G14</f>
        <v>0</v>
      </c>
      <c r="H280" s="496">
        <f>'contact persons VW Group'!H14</f>
        <v>0</v>
      </c>
      <c r="I280" s="496">
        <f>'contact persons VW Group'!I14</f>
        <v>0</v>
      </c>
    </row>
    <row r="281" spans="1:11" s="342" customFormat="1" ht="15.75" hidden="1" customHeight="1" x14ac:dyDescent="0.2">
      <c r="A281" s="343"/>
      <c r="B281" s="347" t="str">
        <f>'contact persons VW Group'!B15</f>
        <v>ZMB</v>
      </c>
      <c r="C281" s="347" t="str">
        <f>'contact persons VW Group'!C15</f>
        <v/>
      </c>
      <c r="D281" s="347">
        <f>'contact persons VW Group'!D15</f>
        <v>0</v>
      </c>
      <c r="E281" s="496">
        <f>'contact persons VW Group'!E15</f>
        <v>0</v>
      </c>
      <c r="F281" s="496">
        <f>'contact persons VW Group'!F15</f>
        <v>0</v>
      </c>
      <c r="G281" s="496">
        <f>'contact persons VW Group'!G15</f>
        <v>0</v>
      </c>
      <c r="H281" s="496">
        <f>'contact persons VW Group'!H15</f>
        <v>0</v>
      </c>
      <c r="I281" s="496">
        <f>'contact persons VW Group'!I15</f>
        <v>0</v>
      </c>
    </row>
    <row r="282" spans="1:11" s="342" customFormat="1" ht="15.75" hidden="1" customHeight="1" x14ac:dyDescent="0.2">
      <c r="A282" s="343"/>
      <c r="B282" s="347">
        <f>'contact persons VW Group'!B16</f>
        <v>0</v>
      </c>
      <c r="C282" s="347" t="str">
        <f>'contact persons VW Group'!C16</f>
        <v/>
      </c>
      <c r="D282" s="347">
        <f>'contact persons VW Group'!D16</f>
        <v>0</v>
      </c>
      <c r="E282" s="496">
        <f>'contact persons VW Group'!E16</f>
        <v>0</v>
      </c>
      <c r="F282" s="496">
        <f>'contact persons VW Group'!F16</f>
        <v>0</v>
      </c>
      <c r="G282" s="496">
        <f>'contact persons VW Group'!G16</f>
        <v>0</v>
      </c>
      <c r="H282" s="496">
        <f>'contact persons VW Group'!H16</f>
        <v>0</v>
      </c>
      <c r="I282" s="496">
        <f>'contact persons VW Group'!I16</f>
        <v>0</v>
      </c>
    </row>
    <row r="283" spans="1:11" s="342" customFormat="1" ht="15.75" hidden="1" customHeight="1" x14ac:dyDescent="0.2">
      <c r="A283" s="343"/>
      <c r="B283" s="347" t="str">
        <f>'contact persons VW Group'!B17</f>
        <v>Syncrofit</v>
      </c>
      <c r="C283" s="347" t="str">
        <f>'contact persons VW Group'!C17</f>
        <v/>
      </c>
      <c r="D283" s="347">
        <f>'contact persons VW Group'!D17</f>
        <v>0</v>
      </c>
      <c r="E283" s="496">
        <f>'contact persons VW Group'!E17</f>
        <v>0</v>
      </c>
      <c r="F283" s="496">
        <f>'contact persons VW Group'!F17</f>
        <v>0</v>
      </c>
      <c r="G283" s="496">
        <f>'contact persons VW Group'!G17</f>
        <v>0</v>
      </c>
      <c r="H283" s="496">
        <f>'contact persons VW Group'!H17</f>
        <v>0</v>
      </c>
      <c r="I283" s="496">
        <f>'contact persons VW Group'!I17</f>
        <v>0</v>
      </c>
    </row>
    <row r="284" spans="1:11" s="342" customFormat="1" ht="15.75" hidden="1" customHeight="1" x14ac:dyDescent="0.2">
      <c r="A284" s="343"/>
      <c r="B284" s="347" t="str">
        <f>'contact persons VW Group'!B18</f>
        <v>OFTP2</v>
      </c>
      <c r="C284" s="347" t="str">
        <f>'contact persons VW Group'!C18</f>
        <v/>
      </c>
      <c r="D284" s="347">
        <f>'contact persons VW Group'!D18</f>
        <v>0</v>
      </c>
      <c r="E284" s="496">
        <f>'contact persons VW Group'!E18</f>
        <v>0</v>
      </c>
      <c r="F284" s="496">
        <f>'contact persons VW Group'!F18</f>
        <v>0</v>
      </c>
      <c r="G284" s="496">
        <f>'contact persons VW Group'!G18</f>
        <v>0</v>
      </c>
      <c r="H284" s="496">
        <f>'contact persons VW Group'!H18</f>
        <v>0</v>
      </c>
      <c r="I284" s="496">
        <f>'contact persons VW Group'!I18</f>
        <v>0</v>
      </c>
    </row>
    <row r="285" spans="1:11" s="342" customFormat="1" ht="15.75" hidden="1" customHeight="1" x14ac:dyDescent="0.2">
      <c r="A285" s="343"/>
      <c r="B285" s="347" t="str">
        <f>'contact persons VW Group'!B19</f>
        <v>SimplX</v>
      </c>
      <c r="C285" s="347" t="str">
        <f>'contact persons VW Group'!C19</f>
        <v/>
      </c>
      <c r="D285" s="347">
        <f>'contact persons VW Group'!D19</f>
        <v>0</v>
      </c>
      <c r="E285" s="496">
        <f>'contact persons VW Group'!E19</f>
        <v>0</v>
      </c>
      <c r="F285" s="496">
        <f>'contact persons VW Group'!F19</f>
        <v>0</v>
      </c>
      <c r="G285" s="496">
        <f>'contact persons VW Group'!G19</f>
        <v>0</v>
      </c>
      <c r="H285" s="496">
        <f>'contact persons VW Group'!H19</f>
        <v>0</v>
      </c>
      <c r="I285" s="496">
        <f>'contact persons VW Group'!I19</f>
        <v>0</v>
      </c>
    </row>
    <row r="286" spans="1:11" s="342" customFormat="1" ht="15.75" hidden="1" customHeight="1" x14ac:dyDescent="0.2">
      <c r="A286" s="343"/>
      <c r="B286" s="347" t="str">
        <f>'contact persons VW Group'!B20</f>
        <v>(TE) DMZ device</v>
      </c>
      <c r="C286" s="347" t="str">
        <f>'contact persons VW Group'!C20</f>
        <v/>
      </c>
      <c r="D286" s="347">
        <f>'contact persons VW Group'!D20</f>
        <v>0</v>
      </c>
      <c r="E286" s="496">
        <f>'contact persons VW Group'!E20</f>
        <v>0</v>
      </c>
      <c r="F286" s="496">
        <f>'contact persons VW Group'!F20</f>
        <v>0</v>
      </c>
      <c r="G286" s="496">
        <f>'contact persons VW Group'!G20</f>
        <v>0</v>
      </c>
      <c r="H286" s="496">
        <f>'contact persons VW Group'!H20</f>
        <v>0</v>
      </c>
      <c r="I286" s="496">
        <f>'contact persons VW Group'!I20</f>
        <v>0</v>
      </c>
    </row>
    <row r="287" spans="1:11" s="342" customFormat="1" ht="15.75" hidden="1" customHeight="1" x14ac:dyDescent="0.2">
      <c r="A287" s="343"/>
      <c r="B287" s="347" t="str">
        <f>'contact persons VW Group'!B21</f>
        <v>Social media</v>
      </c>
      <c r="C287" s="347" t="str">
        <f>'contact persons VW Group'!C21</f>
        <v/>
      </c>
      <c r="D287" s="347">
        <f>'contact persons VW Group'!D21</f>
        <v>0</v>
      </c>
      <c r="E287" s="496">
        <f>'contact persons VW Group'!E21</f>
        <v>0</v>
      </c>
      <c r="F287" s="496">
        <f>'contact persons VW Group'!F21</f>
        <v>0</v>
      </c>
      <c r="G287" s="496">
        <f>'contact persons VW Group'!G21</f>
        <v>0</v>
      </c>
      <c r="H287" s="496">
        <f>'contact persons VW Group'!H21</f>
        <v>0</v>
      </c>
      <c r="I287" s="496">
        <f>'contact persons VW Group'!I21</f>
        <v>0</v>
      </c>
    </row>
    <row r="288" spans="1:11" s="342" customFormat="1" ht="15.75" hidden="1" customHeight="1" x14ac:dyDescent="0.2">
      <c r="A288" s="343"/>
      <c r="B288" s="347" t="str">
        <f>'contact persons VW Group'!B22</f>
        <v>EDI</v>
      </c>
      <c r="C288" s="347" t="str">
        <f>'contact persons VW Group'!C22</f>
        <v/>
      </c>
      <c r="D288" s="347">
        <f>'contact persons VW Group'!D22</f>
        <v>0</v>
      </c>
      <c r="E288" s="496">
        <f>'contact persons VW Group'!E22</f>
        <v>0</v>
      </c>
      <c r="F288" s="496">
        <f>'contact persons VW Group'!F22</f>
        <v>0</v>
      </c>
      <c r="G288" s="496">
        <f>'contact persons VW Group'!G22</f>
        <v>0</v>
      </c>
      <c r="H288" s="496">
        <f>'contact persons VW Group'!H22</f>
        <v>0</v>
      </c>
      <c r="I288" s="496">
        <f>'contact persons VW Group'!I22</f>
        <v>0</v>
      </c>
    </row>
    <row r="289" spans="1:9" s="342" customFormat="1" ht="15.75" hidden="1" customHeight="1" x14ac:dyDescent="0.2">
      <c r="A289" s="343"/>
      <c r="B289" s="347" t="str">
        <f>'contact persons VW Group'!B23</f>
        <v>QTS</v>
      </c>
      <c r="C289" s="347" t="str">
        <f>'contact persons VW Group'!C23</f>
        <v/>
      </c>
      <c r="D289" s="347">
        <f>'contact persons VW Group'!D23</f>
        <v>0</v>
      </c>
      <c r="E289" s="496">
        <f>'contact persons VW Group'!E23</f>
        <v>0</v>
      </c>
      <c r="F289" s="496">
        <f>'contact persons VW Group'!F23</f>
        <v>0</v>
      </c>
      <c r="G289" s="496">
        <f>'contact persons VW Group'!G23</f>
        <v>0</v>
      </c>
      <c r="H289" s="496">
        <f>'contact persons VW Group'!H23</f>
        <v>0</v>
      </c>
      <c r="I289" s="496">
        <f>'contact persons VW Group'!I23</f>
        <v>0</v>
      </c>
    </row>
    <row r="290" spans="1:9" s="342" customFormat="1" ht="15.75" hidden="1" customHeight="1" x14ac:dyDescent="0.2">
      <c r="A290" s="343"/>
      <c r="B290" s="347" t="str">
        <f>'contact persons VW Group'!B24</f>
        <v>Citrix</v>
      </c>
      <c r="C290" s="347" t="str">
        <f>'contact persons VW Group'!C24</f>
        <v/>
      </c>
      <c r="D290" s="347">
        <f>'contact persons VW Group'!D24</f>
        <v>0</v>
      </c>
      <c r="E290" s="496">
        <f>'contact persons VW Group'!E24</f>
        <v>0</v>
      </c>
      <c r="F290" s="496">
        <f>'contact persons VW Group'!F24</f>
        <v>0</v>
      </c>
      <c r="G290" s="496">
        <f>'contact persons VW Group'!G24</f>
        <v>0</v>
      </c>
      <c r="H290" s="496">
        <f>'contact persons VW Group'!H24</f>
        <v>0</v>
      </c>
      <c r="I290" s="496">
        <f>'contact persons VW Group'!I24</f>
        <v>0</v>
      </c>
    </row>
    <row r="291" spans="1:9" s="342" customFormat="1" ht="15.75" hidden="1" customHeight="1" x14ac:dyDescent="0.2">
      <c r="A291" s="343"/>
      <c r="B291" s="347" t="str">
        <f>'contact persons VW Group'!B25</f>
        <v>WTS</v>
      </c>
      <c r="C291" s="347" t="str">
        <f>'contact persons VW Group'!C25</f>
        <v/>
      </c>
      <c r="D291" s="347">
        <f>'contact persons VW Group'!D25</f>
        <v>0</v>
      </c>
      <c r="E291" s="496">
        <f>'contact persons VW Group'!E25</f>
        <v>0</v>
      </c>
      <c r="F291" s="496">
        <f>'contact persons VW Group'!F25</f>
        <v>0</v>
      </c>
      <c r="G291" s="496">
        <f>'contact persons VW Group'!G25</f>
        <v>0</v>
      </c>
      <c r="H291" s="496">
        <f>'contact persons VW Group'!H25</f>
        <v>0</v>
      </c>
      <c r="I291" s="496">
        <f>'contact persons VW Group'!I25</f>
        <v>0</v>
      </c>
    </row>
    <row r="292" spans="1:9" s="342" customFormat="1" ht="15.75" hidden="1" customHeight="1" x14ac:dyDescent="0.2">
      <c r="A292" s="343"/>
      <c r="B292" s="347">
        <f>'contact persons VW Group'!B26</f>
        <v>0</v>
      </c>
      <c r="C292" s="347" t="str">
        <f>'contact persons VW Group'!C26</f>
        <v/>
      </c>
      <c r="D292" s="347">
        <f>'contact persons VW Group'!D26</f>
        <v>0</v>
      </c>
      <c r="E292" s="496">
        <f>'contact persons VW Group'!E26</f>
        <v>0</v>
      </c>
      <c r="F292" s="496">
        <f>'contact persons VW Group'!F26</f>
        <v>0</v>
      </c>
      <c r="G292" s="496">
        <f>'contact persons VW Group'!G26</f>
        <v>0</v>
      </c>
      <c r="H292" s="496">
        <f>'contact persons VW Group'!H26</f>
        <v>0</v>
      </c>
      <c r="I292" s="496">
        <f>'contact persons VW Group'!I26</f>
        <v>0</v>
      </c>
    </row>
    <row r="293" spans="1:9" s="342" customFormat="1" ht="15.75" hidden="1" customHeight="1" x14ac:dyDescent="0.2">
      <c r="A293" s="343"/>
      <c r="B293" s="347" t="str">
        <f>'contact persons VW Group'!B27</f>
        <v>JIT</v>
      </c>
      <c r="C293" s="347" t="str">
        <f>'contact persons VW Group'!C27</f>
        <v/>
      </c>
      <c r="D293" s="347">
        <f>'contact persons VW Group'!D27</f>
        <v>0</v>
      </c>
      <c r="E293" s="496">
        <f>'contact persons VW Group'!E27</f>
        <v>0</v>
      </c>
      <c r="F293" s="496">
        <f>'contact persons VW Group'!F27</f>
        <v>0</v>
      </c>
      <c r="G293" s="496">
        <f>'contact persons VW Group'!G27</f>
        <v>0</v>
      </c>
      <c r="H293" s="496">
        <f>'contact persons VW Group'!H27</f>
        <v>0</v>
      </c>
      <c r="I293" s="496">
        <f>'contact persons VW Group'!I27</f>
        <v>0</v>
      </c>
    </row>
    <row r="294" spans="1:9" s="342" customFormat="1" ht="15.75" hidden="1" customHeight="1" x14ac:dyDescent="0.2">
      <c r="A294" s="343"/>
      <c r="B294" s="347" t="str">
        <f>'contact persons VW Group'!B28</f>
        <v xml:space="preserve">further services </v>
      </c>
      <c r="C294" s="347" t="str">
        <f>'contact persons VW Group'!C28</f>
        <v/>
      </c>
      <c r="D294" s="347">
        <f>'contact persons VW Group'!D28</f>
        <v>0</v>
      </c>
      <c r="E294" s="496">
        <f>'contact persons VW Group'!E28</f>
        <v>0</v>
      </c>
      <c r="F294" s="496">
        <f>'contact persons VW Group'!F28</f>
        <v>0</v>
      </c>
      <c r="G294" s="496">
        <f>'contact persons VW Group'!G28</f>
        <v>0</v>
      </c>
      <c r="H294" s="496">
        <f>'contact persons VW Group'!H28</f>
        <v>0</v>
      </c>
      <c r="I294" s="496">
        <f>'contact persons VW Group'!I28</f>
        <v>0</v>
      </c>
    </row>
    <row r="295" spans="1:9" s="342" customFormat="1" ht="15.75" hidden="1" customHeight="1" x14ac:dyDescent="0.2">
      <c r="A295" s="343"/>
      <c r="B295" s="347">
        <f>'contact persons VW Group'!B29</f>
        <v>0</v>
      </c>
      <c r="C295" s="347" t="str">
        <f>'contact persons VW Group'!C29</f>
        <v/>
      </c>
      <c r="D295" s="347">
        <f>'contact persons VW Group'!D29</f>
        <v>0</v>
      </c>
      <c r="E295" s="496">
        <f>'contact persons VW Group'!E29</f>
        <v>0</v>
      </c>
      <c r="F295" s="496">
        <f>'contact persons VW Group'!F29</f>
        <v>0</v>
      </c>
      <c r="G295" s="496">
        <f>'contact persons VW Group'!G29</f>
        <v>0</v>
      </c>
      <c r="H295" s="496">
        <f>'contact persons VW Group'!H29</f>
        <v>0</v>
      </c>
      <c r="I295" s="496">
        <f>'contact persons VW Group'!I29</f>
        <v>0</v>
      </c>
    </row>
    <row r="296" spans="1:9" s="342" customFormat="1" ht="15.75" hidden="1" customHeight="1" x14ac:dyDescent="0.2">
      <c r="A296" s="343"/>
      <c r="B296" s="347">
        <f>'contact persons VW Group'!B30</f>
        <v>0</v>
      </c>
      <c r="C296" s="347">
        <f>'contact persons VW Group'!C30</f>
        <v>0</v>
      </c>
      <c r="D296" s="347">
        <f>'contact persons VW Group'!D30</f>
        <v>0</v>
      </c>
      <c r="E296" s="496">
        <f>'contact persons VW Group'!E30</f>
        <v>0</v>
      </c>
      <c r="F296" s="496">
        <f>'contact persons VW Group'!F30</f>
        <v>0</v>
      </c>
      <c r="G296" s="496">
        <f>'contact persons VW Group'!G30</f>
        <v>0</v>
      </c>
      <c r="H296" s="496">
        <f>'contact persons VW Group'!H30</f>
        <v>0</v>
      </c>
      <c r="I296" s="496">
        <f>'contact persons VW Group'!I30</f>
        <v>0</v>
      </c>
    </row>
    <row r="297" spans="1:9" s="342" customFormat="1" ht="15.75" hidden="1" customHeight="1" x14ac:dyDescent="0.2">
      <c r="A297" s="343"/>
      <c r="B297" s="344" t="s">
        <v>739</v>
      </c>
      <c r="C297" s="347"/>
      <c r="D297" s="347">
        <f>'contact persons VW Group'!D31</f>
        <v>0</v>
      </c>
      <c r="E297" s="496">
        <f>'contact persons VW Group'!E31</f>
        <v>0</v>
      </c>
      <c r="F297" s="496">
        <f>'contact persons VW Group'!F31</f>
        <v>0</v>
      </c>
      <c r="G297" s="496">
        <f>'contact persons VW Group'!G31</f>
        <v>0</v>
      </c>
      <c r="H297" s="496">
        <f>'contact persons VW Group'!H31</f>
        <v>0</v>
      </c>
      <c r="I297" s="496">
        <f>'contact persons VW Group'!I31</f>
        <v>0</v>
      </c>
    </row>
    <row r="298" spans="1:9" s="342" customFormat="1" ht="15.75" hidden="1" customHeight="1" x14ac:dyDescent="0.2">
      <c r="A298" s="343"/>
      <c r="B298" s="347"/>
      <c r="C298" s="347"/>
      <c r="D298" s="347" t="str">
        <f>'contact persons VW Group'!D33</f>
        <v>Title</v>
      </c>
      <c r="E298" s="496" t="str">
        <f>'contact persons VW Group'!E33</f>
        <v>Surname</v>
      </c>
      <c r="F298" s="496" t="str">
        <f>'contact persons VW Group'!F33</f>
        <v>First name</v>
      </c>
      <c r="G298" s="496" t="str">
        <f>'contact persons VW Group'!G33</f>
        <v>e-mail-address</v>
      </c>
      <c r="H298" s="496" t="str">
        <f>'contact persons VW Group'!H33</f>
        <v>approving department of VW Group</v>
      </c>
      <c r="I298" s="496" t="str">
        <f>'contact persons VW Group'!I33</f>
        <v>phone</v>
      </c>
    </row>
    <row r="299" spans="1:9" s="342" customFormat="1" ht="15.75" hidden="1" customHeight="1" x14ac:dyDescent="0.2">
      <c r="A299" s="343"/>
      <c r="B299" s="347" t="str">
        <f>'contact persons VW Group'!B34</f>
        <v>HyperKVS</v>
      </c>
      <c r="C299" s="347" t="str">
        <f>'contact persons VW Group'!C34</f>
        <v/>
      </c>
      <c r="D299" s="347">
        <f>'contact persons VW Group'!D34</f>
        <v>0</v>
      </c>
      <c r="E299" s="496">
        <f>'contact persons VW Group'!E34</f>
        <v>0</v>
      </c>
      <c r="F299" s="496">
        <f>'contact persons VW Group'!F34</f>
        <v>0</v>
      </c>
      <c r="G299" s="496">
        <f>'contact persons VW Group'!G34</f>
        <v>0</v>
      </c>
      <c r="H299" s="496">
        <f>'contact persons VW Group'!H34</f>
        <v>0</v>
      </c>
      <c r="I299" s="496">
        <f>'contact persons VW Group'!I34</f>
        <v>0</v>
      </c>
    </row>
    <row r="300" spans="1:9" s="342" customFormat="1" ht="15.75" hidden="1" customHeight="1" x14ac:dyDescent="0.2">
      <c r="A300" s="343"/>
      <c r="B300" s="347" t="str">
        <f>'contact persons VW Group'!B35</f>
        <v>CONNECT</v>
      </c>
      <c r="C300" s="347" t="str">
        <f>'contact persons VW Group'!C35</f>
        <v/>
      </c>
      <c r="D300" s="347">
        <f>'contact persons VW Group'!D35</f>
        <v>0</v>
      </c>
      <c r="E300" s="496">
        <f>'contact persons VW Group'!E35</f>
        <v>0</v>
      </c>
      <c r="F300" s="496">
        <f>'contact persons VW Group'!F35</f>
        <v>0</v>
      </c>
      <c r="G300" s="496">
        <f>'contact persons VW Group'!G35</f>
        <v>0</v>
      </c>
      <c r="H300" s="496">
        <f>'contact persons VW Group'!H35</f>
        <v>0</v>
      </c>
      <c r="I300" s="496">
        <f>'contact persons VW Group'!I35</f>
        <v>0</v>
      </c>
    </row>
    <row r="301" spans="1:9" s="342" customFormat="1" ht="15.75" hidden="1" customHeight="1" x14ac:dyDescent="0.2">
      <c r="A301" s="343"/>
      <c r="B301" s="347" t="str">
        <f>'contact persons VW Group'!B36</f>
        <v>VW DMS</v>
      </c>
      <c r="C301" s="347" t="str">
        <f>'contact persons VW Group'!C36</f>
        <v/>
      </c>
      <c r="D301" s="347">
        <f>'contact persons VW Group'!D36</f>
        <v>0</v>
      </c>
      <c r="E301" s="496">
        <f>'contact persons VW Group'!E36</f>
        <v>0</v>
      </c>
      <c r="F301" s="496">
        <f>'contact persons VW Group'!F36</f>
        <v>0</v>
      </c>
      <c r="G301" s="496">
        <f>'contact persons VW Group'!G36</f>
        <v>0</v>
      </c>
      <c r="H301" s="496">
        <f>'contact persons VW Group'!H36</f>
        <v>0</v>
      </c>
      <c r="I301" s="496">
        <f>'contact persons VW Group'!I36</f>
        <v>0</v>
      </c>
    </row>
    <row r="302" spans="1:9" s="342" customFormat="1" ht="15.75" hidden="1" customHeight="1" x14ac:dyDescent="0.2">
      <c r="A302" s="343"/>
      <c r="B302" s="347" t="str">
        <f>'contact persons VW Group'!B37</f>
        <v>ECA</v>
      </c>
      <c r="C302" s="347" t="str">
        <f>'contact persons VW Group'!C37</f>
        <v/>
      </c>
      <c r="D302" s="347">
        <f>'contact persons VW Group'!D37</f>
        <v>0</v>
      </c>
      <c r="E302" s="496">
        <f>'contact persons VW Group'!E37</f>
        <v>0</v>
      </c>
      <c r="F302" s="496">
        <f>'contact persons VW Group'!F37</f>
        <v>0</v>
      </c>
      <c r="G302" s="496">
        <f>'contact persons VW Group'!G37</f>
        <v>0</v>
      </c>
      <c r="H302" s="496">
        <f>'contact persons VW Group'!H37</f>
        <v>0</v>
      </c>
      <c r="I302" s="496">
        <f>'contact persons VW Group'!I37</f>
        <v>0</v>
      </c>
    </row>
    <row r="303" spans="1:9" s="342" customFormat="1" ht="15.75" hidden="1" customHeight="1" x14ac:dyDescent="0.2">
      <c r="A303" s="343"/>
      <c r="B303" s="347" t="str">
        <f>'contact persons VW Group'!B38</f>
        <v>ZMB</v>
      </c>
      <c r="C303" s="347" t="str">
        <f>'contact persons VW Group'!C38</f>
        <v/>
      </c>
      <c r="D303" s="347">
        <f>'contact persons VW Group'!D38</f>
        <v>0</v>
      </c>
      <c r="E303" s="496">
        <f>'contact persons VW Group'!E38</f>
        <v>0</v>
      </c>
      <c r="F303" s="496">
        <f>'contact persons VW Group'!F38</f>
        <v>0</v>
      </c>
      <c r="G303" s="496">
        <f>'contact persons VW Group'!G38</f>
        <v>0</v>
      </c>
      <c r="H303" s="496">
        <f>'contact persons VW Group'!H38</f>
        <v>0</v>
      </c>
      <c r="I303" s="496">
        <f>'contact persons VW Group'!I38</f>
        <v>0</v>
      </c>
    </row>
    <row r="304" spans="1:9" s="342" customFormat="1" ht="15.75" hidden="1" customHeight="1" x14ac:dyDescent="0.2">
      <c r="A304" s="343"/>
      <c r="B304" s="347">
        <f>'contact persons VW Group'!B39</f>
        <v>0</v>
      </c>
      <c r="C304" s="347" t="str">
        <f>'contact persons VW Group'!C39</f>
        <v/>
      </c>
      <c r="D304" s="347">
        <f>'contact persons VW Group'!D39</f>
        <v>0</v>
      </c>
      <c r="E304" s="496">
        <f>'contact persons VW Group'!E39</f>
        <v>0</v>
      </c>
      <c r="F304" s="496">
        <f>'contact persons VW Group'!F39</f>
        <v>0</v>
      </c>
      <c r="G304" s="496">
        <f>'contact persons VW Group'!G39</f>
        <v>0</v>
      </c>
      <c r="H304" s="496">
        <f>'contact persons VW Group'!H39</f>
        <v>0</v>
      </c>
      <c r="I304" s="496">
        <f>'contact persons VW Group'!I39</f>
        <v>0</v>
      </c>
    </row>
    <row r="305" spans="1:9" s="342" customFormat="1" ht="15.75" hidden="1" customHeight="1" x14ac:dyDescent="0.2">
      <c r="A305" s="343"/>
      <c r="B305" s="347" t="str">
        <f>'contact persons VW Group'!B40</f>
        <v>Syncrofit</v>
      </c>
      <c r="C305" s="347" t="str">
        <f>'contact persons VW Group'!C40</f>
        <v/>
      </c>
      <c r="D305" s="347">
        <f>'contact persons VW Group'!D40</f>
        <v>0</v>
      </c>
      <c r="E305" s="496">
        <f>'contact persons VW Group'!E40</f>
        <v>0</v>
      </c>
      <c r="F305" s="496">
        <f>'contact persons VW Group'!F40</f>
        <v>0</v>
      </c>
      <c r="G305" s="496">
        <f>'contact persons VW Group'!G40</f>
        <v>0</v>
      </c>
      <c r="H305" s="496">
        <f>'contact persons VW Group'!H40</f>
        <v>0</v>
      </c>
      <c r="I305" s="496">
        <f>'contact persons VW Group'!I40</f>
        <v>0</v>
      </c>
    </row>
    <row r="306" spans="1:9" s="342" customFormat="1" ht="15.75" hidden="1" customHeight="1" x14ac:dyDescent="0.2">
      <c r="A306" s="343"/>
      <c r="B306" s="347" t="str">
        <f>'contact persons VW Group'!B41</f>
        <v>OFTP2</v>
      </c>
      <c r="C306" s="347" t="str">
        <f>'contact persons VW Group'!C41</f>
        <v/>
      </c>
      <c r="D306" s="347">
        <f>'contact persons VW Group'!D41</f>
        <v>0</v>
      </c>
      <c r="E306" s="496">
        <f>'contact persons VW Group'!E41</f>
        <v>0</v>
      </c>
      <c r="F306" s="496">
        <f>'contact persons VW Group'!F41</f>
        <v>0</v>
      </c>
      <c r="G306" s="496">
        <f>'contact persons VW Group'!G41</f>
        <v>0</v>
      </c>
      <c r="H306" s="496">
        <f>'contact persons VW Group'!H41</f>
        <v>0</v>
      </c>
      <c r="I306" s="496">
        <f>'contact persons VW Group'!I41</f>
        <v>0</v>
      </c>
    </row>
    <row r="307" spans="1:9" s="342" customFormat="1" ht="15.75" hidden="1" customHeight="1" x14ac:dyDescent="0.2">
      <c r="A307" s="343"/>
      <c r="B307" s="347" t="str">
        <f>'contact persons VW Group'!B42</f>
        <v>SimplX</v>
      </c>
      <c r="C307" s="347" t="str">
        <f>'contact persons VW Group'!C42</f>
        <v/>
      </c>
      <c r="D307" s="347">
        <f>'contact persons VW Group'!D42</f>
        <v>0</v>
      </c>
      <c r="E307" s="496">
        <f>'contact persons VW Group'!E42</f>
        <v>0</v>
      </c>
      <c r="F307" s="496">
        <f>'contact persons VW Group'!F42</f>
        <v>0</v>
      </c>
      <c r="G307" s="496">
        <f>'contact persons VW Group'!G42</f>
        <v>0</v>
      </c>
      <c r="H307" s="496">
        <f>'contact persons VW Group'!H42</f>
        <v>0</v>
      </c>
      <c r="I307" s="496">
        <f>'contact persons VW Group'!I42</f>
        <v>0</v>
      </c>
    </row>
    <row r="308" spans="1:9" s="342" customFormat="1" ht="15.75" hidden="1" customHeight="1" x14ac:dyDescent="0.2">
      <c r="A308" s="343"/>
      <c r="B308" s="347" t="str">
        <f>'contact persons VW Group'!B43</f>
        <v>(TE) DMZ device</v>
      </c>
      <c r="C308" s="347" t="str">
        <f>'contact persons VW Group'!C43</f>
        <v/>
      </c>
      <c r="D308" s="347">
        <f>'contact persons VW Group'!D43</f>
        <v>0</v>
      </c>
      <c r="E308" s="496">
        <f>'contact persons VW Group'!E43</f>
        <v>0</v>
      </c>
      <c r="F308" s="496">
        <f>'contact persons VW Group'!F43</f>
        <v>0</v>
      </c>
      <c r="G308" s="496">
        <f>'contact persons VW Group'!G43</f>
        <v>0</v>
      </c>
      <c r="H308" s="496">
        <f>'contact persons VW Group'!H43</f>
        <v>0</v>
      </c>
      <c r="I308" s="496">
        <f>'contact persons VW Group'!I43</f>
        <v>0</v>
      </c>
    </row>
    <row r="309" spans="1:9" s="342" customFormat="1" ht="15.75" hidden="1" customHeight="1" x14ac:dyDescent="0.2">
      <c r="A309" s="343"/>
      <c r="B309" s="347" t="str">
        <f>'contact persons VW Group'!B44</f>
        <v>Social media</v>
      </c>
      <c r="C309" s="347" t="str">
        <f>'contact persons VW Group'!C44</f>
        <v/>
      </c>
      <c r="D309" s="347">
        <f>'contact persons VW Group'!D44</f>
        <v>0</v>
      </c>
      <c r="E309" s="496">
        <f>'contact persons VW Group'!E44</f>
        <v>0</v>
      </c>
      <c r="F309" s="496">
        <f>'contact persons VW Group'!F44</f>
        <v>0</v>
      </c>
      <c r="G309" s="496">
        <f>'contact persons VW Group'!G44</f>
        <v>0</v>
      </c>
      <c r="H309" s="496">
        <f>'contact persons VW Group'!H44</f>
        <v>0</v>
      </c>
      <c r="I309" s="496">
        <f>'contact persons VW Group'!I44</f>
        <v>0</v>
      </c>
    </row>
    <row r="310" spans="1:9" s="342" customFormat="1" ht="15.75" hidden="1" customHeight="1" x14ac:dyDescent="0.2">
      <c r="A310" s="343"/>
      <c r="B310" s="347" t="str">
        <f>'contact persons VW Group'!B45</f>
        <v>EDI</v>
      </c>
      <c r="C310" s="347" t="str">
        <f>'contact persons VW Group'!C45</f>
        <v/>
      </c>
      <c r="D310" s="347">
        <f>'contact persons VW Group'!D45</f>
        <v>0</v>
      </c>
      <c r="E310" s="496">
        <f>'contact persons VW Group'!E45</f>
        <v>0</v>
      </c>
      <c r="F310" s="496">
        <f>'contact persons VW Group'!F45</f>
        <v>0</v>
      </c>
      <c r="G310" s="496">
        <f>'contact persons VW Group'!G45</f>
        <v>0</v>
      </c>
      <c r="H310" s="496">
        <f>'contact persons VW Group'!H45</f>
        <v>0</v>
      </c>
      <c r="I310" s="496">
        <f>'contact persons VW Group'!I45</f>
        <v>0</v>
      </c>
    </row>
    <row r="311" spans="1:9" s="342" customFormat="1" ht="15.75" hidden="1" customHeight="1" x14ac:dyDescent="0.2">
      <c r="A311" s="343"/>
      <c r="B311" s="347" t="str">
        <f>'contact persons VW Group'!B46</f>
        <v>QTS</v>
      </c>
      <c r="C311" s="347" t="str">
        <f>'contact persons VW Group'!C46</f>
        <v/>
      </c>
      <c r="D311" s="347">
        <f>'contact persons VW Group'!D46</f>
        <v>0</v>
      </c>
      <c r="E311" s="496">
        <f>'contact persons VW Group'!E46</f>
        <v>0</v>
      </c>
      <c r="F311" s="496">
        <f>'contact persons VW Group'!F46</f>
        <v>0</v>
      </c>
      <c r="G311" s="496">
        <f>'contact persons VW Group'!G46</f>
        <v>0</v>
      </c>
      <c r="H311" s="496">
        <f>'contact persons VW Group'!H46</f>
        <v>0</v>
      </c>
      <c r="I311" s="496">
        <f>'contact persons VW Group'!I46</f>
        <v>0</v>
      </c>
    </row>
    <row r="312" spans="1:9" s="342" customFormat="1" ht="15.75" hidden="1" customHeight="1" x14ac:dyDescent="0.2">
      <c r="A312" s="343"/>
      <c r="B312" s="347" t="str">
        <f>'contact persons VW Group'!B47</f>
        <v>Citrix</v>
      </c>
      <c r="C312" s="347" t="str">
        <f>'contact persons VW Group'!C47</f>
        <v/>
      </c>
      <c r="D312" s="347">
        <f>'contact persons VW Group'!D47</f>
        <v>0</v>
      </c>
      <c r="E312" s="496">
        <f>'contact persons VW Group'!E47</f>
        <v>0</v>
      </c>
      <c r="F312" s="496">
        <f>'contact persons VW Group'!F47</f>
        <v>0</v>
      </c>
      <c r="G312" s="496">
        <f>'contact persons VW Group'!G47</f>
        <v>0</v>
      </c>
      <c r="H312" s="496">
        <f>'contact persons VW Group'!H47</f>
        <v>0</v>
      </c>
      <c r="I312" s="496">
        <f>'contact persons VW Group'!I47</f>
        <v>0</v>
      </c>
    </row>
    <row r="313" spans="1:9" s="342" customFormat="1" ht="15.75" hidden="1" customHeight="1" x14ac:dyDescent="0.2">
      <c r="A313" s="343"/>
      <c r="B313" s="347" t="str">
        <f>'contact persons VW Group'!B48</f>
        <v>WTS</v>
      </c>
      <c r="C313" s="347" t="str">
        <f>'contact persons VW Group'!C48</f>
        <v/>
      </c>
      <c r="D313" s="347">
        <f>'contact persons VW Group'!D48</f>
        <v>0</v>
      </c>
      <c r="E313" s="496">
        <f>'contact persons VW Group'!E48</f>
        <v>0</v>
      </c>
      <c r="F313" s="496">
        <f>'contact persons VW Group'!F48</f>
        <v>0</v>
      </c>
      <c r="G313" s="496">
        <f>'contact persons VW Group'!G48</f>
        <v>0</v>
      </c>
      <c r="H313" s="496">
        <f>'contact persons VW Group'!H48</f>
        <v>0</v>
      </c>
      <c r="I313" s="496">
        <f>'contact persons VW Group'!I48</f>
        <v>0</v>
      </c>
    </row>
    <row r="314" spans="1:9" s="342" customFormat="1" ht="15.75" hidden="1" customHeight="1" x14ac:dyDescent="0.2">
      <c r="A314" s="343"/>
      <c r="B314" s="347">
        <f>'contact persons VW Group'!B49</f>
        <v>0</v>
      </c>
      <c r="C314" s="347" t="str">
        <f>'contact persons VW Group'!C49</f>
        <v/>
      </c>
      <c r="D314" s="347">
        <f>'contact persons VW Group'!D49</f>
        <v>0</v>
      </c>
      <c r="E314" s="496">
        <f>'contact persons VW Group'!E49</f>
        <v>0</v>
      </c>
      <c r="F314" s="496">
        <f>'contact persons VW Group'!F49</f>
        <v>0</v>
      </c>
      <c r="G314" s="496">
        <f>'contact persons VW Group'!G49</f>
        <v>0</v>
      </c>
      <c r="H314" s="496">
        <f>'contact persons VW Group'!H49</f>
        <v>0</v>
      </c>
      <c r="I314" s="496">
        <f>'contact persons VW Group'!I49</f>
        <v>0</v>
      </c>
    </row>
    <row r="315" spans="1:9" s="342" customFormat="1" ht="15.75" hidden="1" customHeight="1" x14ac:dyDescent="0.2">
      <c r="A315" s="343"/>
      <c r="B315" s="347" t="str">
        <f>'contact persons VW Group'!B50</f>
        <v>JIT</v>
      </c>
      <c r="C315" s="347" t="str">
        <f>'contact persons VW Group'!C50</f>
        <v/>
      </c>
      <c r="D315" s="347">
        <f>'contact persons VW Group'!D50</f>
        <v>0</v>
      </c>
      <c r="E315" s="496">
        <f>'contact persons VW Group'!E50</f>
        <v>0</v>
      </c>
      <c r="F315" s="496">
        <f>'contact persons VW Group'!F50</f>
        <v>0</v>
      </c>
      <c r="G315" s="496">
        <f>'contact persons VW Group'!G50</f>
        <v>0</v>
      </c>
      <c r="H315" s="496">
        <f>'contact persons VW Group'!H50</f>
        <v>0</v>
      </c>
      <c r="I315" s="496"/>
    </row>
    <row r="316" spans="1:9" s="342" customFormat="1" ht="15.75" hidden="1" customHeight="1" x14ac:dyDescent="0.2">
      <c r="A316" s="343"/>
      <c r="B316" s="347" t="str">
        <f>'contact persons VW Group'!B51</f>
        <v xml:space="preserve">further services </v>
      </c>
      <c r="C316" s="347" t="str">
        <f>'contact persons VW Group'!C51</f>
        <v/>
      </c>
      <c r="D316" s="347">
        <f>'contact persons VW Group'!D51</f>
        <v>0</v>
      </c>
      <c r="E316" s="496">
        <f>'contact persons VW Group'!E51</f>
        <v>0</v>
      </c>
      <c r="F316" s="496">
        <f>'contact persons VW Group'!F51</f>
        <v>0</v>
      </c>
      <c r="G316" s="496">
        <f>'contact persons VW Group'!G51</f>
        <v>0</v>
      </c>
      <c r="H316" s="496">
        <f>'contact persons VW Group'!H51</f>
        <v>0</v>
      </c>
      <c r="I316" s="496"/>
    </row>
    <row r="317" spans="1:9" hidden="1" x14ac:dyDescent="0.25">
      <c r="B317" s="35">
        <f>'contact persons VW Group'!B52</f>
        <v>0</v>
      </c>
    </row>
    <row r="318" spans="1:9" hidden="1" x14ac:dyDescent="0.25"/>
    <row r="319" spans="1:9" hidden="1" x14ac:dyDescent="0.25"/>
    <row r="320" spans="1:9" hidden="1" x14ac:dyDescent="0.25"/>
    <row r="321" spans="2:2" hidden="1" x14ac:dyDescent="0.25"/>
    <row r="322" spans="2:2" hidden="1" x14ac:dyDescent="0.25"/>
    <row r="323" spans="2:2" hidden="1" x14ac:dyDescent="0.25"/>
    <row r="324" spans="2:2" hidden="1" x14ac:dyDescent="0.25"/>
    <row r="325" spans="2:2" hidden="1" x14ac:dyDescent="0.25"/>
    <row r="326" spans="2:2" hidden="1" x14ac:dyDescent="0.25"/>
    <row r="327" spans="2:2" hidden="1" x14ac:dyDescent="0.25"/>
    <row r="328" spans="2:2" hidden="1" x14ac:dyDescent="0.25"/>
    <row r="329" spans="2:2" hidden="1" x14ac:dyDescent="0.25"/>
    <row r="330" spans="2:2" hidden="1" x14ac:dyDescent="0.25"/>
    <row r="331" spans="2:2" hidden="1" x14ac:dyDescent="0.25"/>
    <row r="332" spans="2:2" hidden="1" x14ac:dyDescent="0.25"/>
    <row r="333" spans="2:2" hidden="1" x14ac:dyDescent="0.25"/>
    <row r="334" spans="2:2" hidden="1" x14ac:dyDescent="0.25">
      <c r="B334" s="35">
        <f>'contact persons VW Group'!B69</f>
        <v>10</v>
      </c>
    </row>
    <row r="335" spans="2:2" hidden="1" x14ac:dyDescent="0.25">
      <c r="B335" s="35">
        <f>'contact persons VW Group'!B70</f>
        <v>10</v>
      </c>
    </row>
    <row r="336" spans="2:2" hidden="1" x14ac:dyDescent="0.25">
      <c r="B336" s="35">
        <f>'contact persons VW Group'!B71</f>
        <v>0</v>
      </c>
    </row>
    <row r="337" spans="2:2" hidden="1" x14ac:dyDescent="0.25">
      <c r="B337" s="35">
        <f>'contact persons VW Group'!B72</f>
        <v>0</v>
      </c>
    </row>
    <row r="338" spans="2:2" hidden="1" x14ac:dyDescent="0.25">
      <c r="B338" s="35">
        <f>'contact persons VW Group'!B73</f>
        <v>0</v>
      </c>
    </row>
    <row r="339" spans="2:2" hidden="1" x14ac:dyDescent="0.25">
      <c r="B339" s="35">
        <f>'contact persons VW Group'!B74</f>
        <v>0</v>
      </c>
    </row>
    <row r="340" spans="2:2" hidden="1" x14ac:dyDescent="0.25">
      <c r="B340" s="35">
        <f>'contact persons VW Group'!B75</f>
        <v>0</v>
      </c>
    </row>
    <row r="341" spans="2:2" hidden="1" x14ac:dyDescent="0.25"/>
    <row r="342" spans="2:2" hidden="1" x14ac:dyDescent="0.25"/>
  </sheetData>
  <sheetProtection algorithmName="SHA-512" hashValue="hLb4POuGZ7OO0y2QkbIbMWXZekCrTSc3Ecxn+EN0We5bWMYrsVETAo//cXBWTuzmYlH24/WqKZJNEtyw8E5HOw==" saltValue="PLKcbVJf+ImRW5xzUAz2bw==" spinCount="100000" sheet="1" formatCells="0"/>
  <mergeCells count="4">
    <mergeCell ref="B249:C249"/>
    <mergeCell ref="B94:C94"/>
    <mergeCell ref="A263:B263"/>
    <mergeCell ref="D1:D2"/>
  </mergeCells>
  <conditionalFormatting sqref="C18 C39:C42 C31:C35 C95:C99 C204:C210 C213:C220 C87:C92 C103:C121 C148:C157 C71:C76 C79:C84 C22:C28 C14:C16 C125:C142 C161:C179 C182:C199 C7:C12 C245">
    <cfRule type="cellIs" dxfId="99" priority="78" operator="equal">
      <formula>"not filled in"</formula>
    </cfRule>
  </conditionalFormatting>
  <conditionalFormatting sqref="C17">
    <cfRule type="cellIs" dxfId="98" priority="77" operator="equal">
      <formula>"not filled in"</formula>
    </cfRule>
  </conditionalFormatting>
  <conditionalFormatting sqref="C161:C199">
    <cfRule type="cellIs" dxfId="97" priority="66" operator="equal">
      <formula>"not filled in or incomplete"</formula>
    </cfRule>
  </conditionalFormatting>
  <conditionalFormatting sqref="C143">
    <cfRule type="cellIs" dxfId="96" priority="65" operator="equal">
      <formula>"not filled in"</formula>
    </cfRule>
  </conditionalFormatting>
  <conditionalFormatting sqref="C144">
    <cfRule type="cellIs" dxfId="95" priority="63" operator="equal">
      <formula>"not filled in"</formula>
    </cfRule>
  </conditionalFormatting>
  <conditionalFormatting sqref="C4">
    <cfRule type="expression" dxfId="94" priority="61">
      <formula>$H$4&gt;0</formula>
    </cfRule>
  </conditionalFormatting>
  <conditionalFormatting sqref="C69">
    <cfRule type="expression" dxfId="93" priority="60">
      <formula>$H$69&gt;0</formula>
    </cfRule>
  </conditionalFormatting>
  <conditionalFormatting sqref="C101">
    <cfRule type="expression" dxfId="92" priority="59">
      <formula>$I$101&gt;0</formula>
    </cfRule>
  </conditionalFormatting>
  <conditionalFormatting sqref="C159">
    <cfRule type="expression" dxfId="91" priority="58">
      <formula>$H$159&gt;0</formula>
    </cfRule>
  </conditionalFormatting>
  <conditionalFormatting sqref="C202">
    <cfRule type="expression" dxfId="90" priority="57">
      <formula>$H$202&gt;0</formula>
    </cfRule>
  </conditionalFormatting>
  <conditionalFormatting sqref="C19">
    <cfRule type="cellIs" dxfId="89" priority="54" operator="equal">
      <formula>"not filled in"</formula>
    </cfRule>
  </conditionalFormatting>
  <conditionalFormatting sqref="D27:D28">
    <cfRule type="cellIs" dxfId="88" priority="53" operator="equal">
      <formula>"information about e-invoicing services are mandatory  (e-mail address or rejection)"</formula>
    </cfRule>
  </conditionalFormatting>
  <conditionalFormatting sqref="C179">
    <cfRule type="cellIs" dxfId="87" priority="42" operator="equal">
      <formula>"CAUTION: for application FAZIT exclusively naming of the item responsible of the commissioning Volkswagen Group department"</formula>
    </cfRule>
  </conditionalFormatting>
  <conditionalFormatting sqref="C200">
    <cfRule type="cellIs" dxfId="86" priority="41" operator="equal">
      <formula>"CAUTION: for application FAZIT exclusively naming of the item responsible of the commissioning Volkswagen Group department"</formula>
    </cfRule>
  </conditionalFormatting>
  <conditionalFormatting sqref="C250">
    <cfRule type="cellIs" dxfId="85" priority="40" operator="equal">
      <formula>"For a contract preview additional data are needed. Further clarification will be done outside of this document after return of the filled CSN shortlist"</formula>
    </cfRule>
  </conditionalFormatting>
  <conditionalFormatting sqref="C251:C252 C255:C257">
    <cfRule type="cellIs" dxfId="84" priority="39" operator="equal">
      <formula>"no evaluation possible yet"</formula>
    </cfRule>
  </conditionalFormatting>
  <conditionalFormatting sqref="C45">
    <cfRule type="cellIs" dxfId="83" priority="37" operator="equal">
      <formula>"not filled in"</formula>
    </cfRule>
  </conditionalFormatting>
  <conditionalFormatting sqref="C46">
    <cfRule type="cellIs" dxfId="82" priority="36" operator="equal">
      <formula>"not filled in"</formula>
    </cfRule>
  </conditionalFormatting>
  <conditionalFormatting sqref="C43">
    <cfRule type="cellIs" dxfId="81" priority="35" operator="equal">
      <formula>"not filled in"</formula>
    </cfRule>
  </conditionalFormatting>
  <conditionalFormatting sqref="C13">
    <cfRule type="cellIs" dxfId="80" priority="31" operator="equal">
      <formula>"not filled in"</formula>
    </cfRule>
  </conditionalFormatting>
  <conditionalFormatting sqref="C36">
    <cfRule type="cellIs" dxfId="79" priority="30" operator="equal">
      <formula>"not filled in"</formula>
    </cfRule>
  </conditionalFormatting>
  <conditionalFormatting sqref="C44">
    <cfRule type="cellIs" dxfId="78" priority="29" operator="equal">
      <formula>"not filled in"</formula>
    </cfRule>
  </conditionalFormatting>
  <conditionalFormatting sqref="C78">
    <cfRule type="cellIs" dxfId="77" priority="27" operator="equal">
      <formula>"Note: contact for contract assumes the role"</formula>
    </cfRule>
  </conditionalFormatting>
  <conditionalFormatting sqref="C122:C123">
    <cfRule type="cellIs" dxfId="76" priority="26" operator="equal">
      <formula>"not filled in"</formula>
    </cfRule>
  </conditionalFormatting>
  <conditionalFormatting sqref="C86">
    <cfRule type="cellIs" dxfId="75" priority="23" operator="equal">
      <formula>"Note: contact for contract assumes the role"</formula>
    </cfRule>
  </conditionalFormatting>
  <conditionalFormatting sqref="D143">
    <cfRule type="cellIs" dxfId="74" priority="20" operator="equal">
      <formula>"CAUTION: selection of brand for named further service/IP is pending - Service request not executable"</formula>
    </cfRule>
  </conditionalFormatting>
  <conditionalFormatting sqref="D121">
    <cfRule type="cellIs" dxfId="73" priority="19" operator="equal">
      <formula>"CAUTION: selection of brand for named further service/IP is pending - Service request not executable"</formula>
    </cfRule>
  </conditionalFormatting>
  <conditionalFormatting sqref="C145:C146">
    <cfRule type="cellIs" dxfId="72" priority="18" operator="equal">
      <formula>"not filled in"</formula>
    </cfRule>
  </conditionalFormatting>
  <conditionalFormatting sqref="C5:C6">
    <cfRule type="cellIs" dxfId="71" priority="17" operator="equal">
      <formula>"not filled in"</formula>
    </cfRule>
  </conditionalFormatting>
  <conditionalFormatting sqref="D162 D166 D183 D187">
    <cfRule type="cellIs" dxfId="70" priority="13" operator="equal">
      <formula>"e-mail address incorrect"</formula>
    </cfRule>
    <cfRule type="cellIs" dxfId="69" priority="14" operator="equal">
      <formula>"selection of application for this contact is pending"</formula>
    </cfRule>
  </conditionalFormatting>
  <conditionalFormatting sqref="C221">
    <cfRule type="expression" dxfId="68" priority="12">
      <formula>$H$221&gt;0</formula>
    </cfRule>
  </conditionalFormatting>
  <conditionalFormatting sqref="C222:C223 C225:C244">
    <cfRule type="cellIs" dxfId="67" priority="11" operator="equal">
      <formula>"not filled in"</formula>
    </cfRule>
  </conditionalFormatting>
  <conditionalFormatting sqref="C222:C223 C225:C244">
    <cfRule type="cellIs" dxfId="66" priority="8" operator="equal">
      <formula>"not filled in"</formula>
    </cfRule>
  </conditionalFormatting>
  <conditionalFormatting sqref="C222:C223 C225:C244">
    <cfRule type="cellIs" dxfId="65" priority="10" operator="equal">
      <formula>"Befüllung ausstehend"</formula>
    </cfRule>
  </conditionalFormatting>
  <conditionalFormatting sqref="C222:C223 C225:C244">
    <cfRule type="cellIs" dxfId="64" priority="9" operator="equal">
      <formula>"Befüllung ausstehend"</formula>
    </cfRule>
  </conditionalFormatting>
  <conditionalFormatting sqref="C224">
    <cfRule type="cellIs" dxfId="63" priority="7" operator="equal">
      <formula>"not filled in"</formula>
    </cfRule>
  </conditionalFormatting>
  <conditionalFormatting sqref="C224">
    <cfRule type="cellIs" dxfId="62" priority="6" operator="equal">
      <formula>"not filled in or incomplete"</formula>
    </cfRule>
  </conditionalFormatting>
  <conditionalFormatting sqref="C222">
    <cfRule type="cellIs" dxfId="61" priority="5" operator="equal">
      <formula>"waiting for filling"</formula>
    </cfRule>
  </conditionalFormatting>
  <conditionalFormatting sqref="D135">
    <cfRule type="cellIs" dxfId="60" priority="4" operator="equal">
      <formula>"entry desired"</formula>
    </cfRule>
  </conditionalFormatting>
  <conditionalFormatting sqref="D113">
    <cfRule type="cellIs" dxfId="59" priority="3" operator="equal">
      <formula>"entry desired"</formula>
    </cfRule>
  </conditionalFormatting>
  <conditionalFormatting sqref="C48:C68">
    <cfRule type="cellIs" dxfId="58" priority="1" operator="equal">
      <formula>"not filled in"</formula>
    </cfRule>
  </conditionalFormatting>
  <conditionalFormatting sqref="C48:C68">
    <cfRule type="cellIs" dxfId="57" priority="2" operator="equal">
      <formula>"not filled in"</formula>
    </cfRule>
  </conditionalFormatting>
  <hyperlinks>
    <hyperlink ref="E252" r:id="rId1" xr:uid="{00000000-0004-0000-0700-000000000000}"/>
    <hyperlink ref="C263" r:id="rId2" tooltip="For any question please contact CSN SERVICE - +49 375 60619 904 or csn.service@o-s.de" display="Return to csn.service@o-s.de" xr:uid="{F5744EAE-DE8C-42BB-9FB6-51600E4AE6C3}"/>
  </hyperlinks>
  <pageMargins left="0.27" right="0.28999999999999998" top="0.27" bottom="0.31" header="0.2" footer="0.25"/>
  <pageSetup paperSize="9" scale="80" orientation="landscape" r:id="rId3"/>
  <drawing r:id="rId4"/>
  <extLst>
    <ext xmlns:x14="http://schemas.microsoft.com/office/spreadsheetml/2009/9/main" uri="{78C0D931-6437-407d-A8EE-F0AAD7539E65}">
      <x14:conditionalFormattings>
        <x14:conditionalFormatting xmlns:xm="http://schemas.microsoft.com/office/excel/2006/main">
          <x14:cfRule type="expression" priority="22" id="{966BDFBB-D470-43E0-8DF2-AD2BD65F87D2}">
            <xm:f>'company data'!I7=10</xm:f>
            <x14:dxf>
              <font>
                <color rgb="FFFFC000"/>
              </font>
            </x14:dxf>
          </x14:cfRule>
          <xm:sqref>B3</xm:sqref>
        </x14:conditionalFormatting>
        <x14:conditionalFormatting xmlns:xm="http://schemas.microsoft.com/office/excel/2006/main">
          <x14:cfRule type="expression" priority="21" id="{8D05AFCC-CBBF-43D7-B502-98406D12BD34}">
            <xm:f>'company data'!$I$7=10</xm:f>
            <x14:dxf>
              <font>
                <color rgb="FFFFC000"/>
              </font>
            </x14:dxf>
          </x14:cfRule>
          <xm:sqref>C3</xm:sqref>
        </x14:conditionalFormatting>
        <x14:conditionalFormatting xmlns:xm="http://schemas.microsoft.com/office/excel/2006/main">
          <x14:cfRule type="expression" priority="16" id="{4D05664B-AB94-4208-952F-765C35DD30FE}">
            <xm:f>'company data'!$G$7=1</xm:f>
            <x14:dxf>
              <font>
                <color rgb="FF0070C0"/>
              </font>
            </x14:dxf>
          </x14:cfRule>
          <xm:sqref>D162 D166</xm:sqref>
        </x14:conditionalFormatting>
        <x14:conditionalFormatting xmlns:xm="http://schemas.microsoft.com/office/excel/2006/main">
          <x14:cfRule type="expression" priority="15" id="{926A25A2-1361-44E0-8939-ECF2167EAB4F}">
            <xm:f>'company data'!$G$7=1</xm:f>
            <x14:dxf>
              <font>
                <color rgb="FF0070C0"/>
              </font>
            </x14:dxf>
          </x14:cfRule>
          <xm:sqref>D183 D187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35"/>
  <sheetViews>
    <sheetView topLeftCell="AV1" zoomScale="85" zoomScaleNormal="85" workbookViewId="0">
      <selection activeCell="K6" sqref="K6"/>
    </sheetView>
  </sheetViews>
  <sheetFormatPr baseColWidth="10" defaultRowHeight="15" x14ac:dyDescent="0.25"/>
  <cols>
    <col min="1" max="1" width="4.28515625" hidden="1" customWidth="1"/>
    <col min="2" max="2" width="0" hidden="1" customWidth="1"/>
    <col min="3" max="3" width="15.28515625" hidden="1" customWidth="1"/>
    <col min="4" max="4" width="18.42578125" hidden="1" customWidth="1"/>
    <col min="5" max="5" width="0" hidden="1" customWidth="1"/>
    <col min="6" max="6" width="43" hidden="1" customWidth="1"/>
    <col min="7" max="7" width="101" hidden="1" customWidth="1"/>
    <col min="8" max="8" width="20" style="351" hidden="1" customWidth="1"/>
    <col min="9" max="47" width="0" hidden="1" customWidth="1"/>
  </cols>
  <sheetData>
    <row r="1" spans="1:52" x14ac:dyDescent="0.25">
      <c r="A1" s="349" t="s">
        <v>50</v>
      </c>
      <c r="B1" s="349" t="s">
        <v>45</v>
      </c>
      <c r="C1" s="349" t="s">
        <v>674</v>
      </c>
      <c r="D1" s="349" t="s">
        <v>681</v>
      </c>
      <c r="E1" s="349"/>
      <c r="F1" s="349" t="s">
        <v>746</v>
      </c>
      <c r="G1" s="349" t="s">
        <v>771</v>
      </c>
      <c r="H1" s="350" t="s">
        <v>53</v>
      </c>
      <c r="I1" s="349" t="s">
        <v>52</v>
      </c>
      <c r="N1" t="s">
        <v>925</v>
      </c>
    </row>
    <row r="2" spans="1:52" ht="22.5" x14ac:dyDescent="0.25">
      <c r="A2" s="19" t="s">
        <v>49</v>
      </c>
      <c r="B2" t="s">
        <v>57</v>
      </c>
      <c r="C2" t="s">
        <v>0</v>
      </c>
      <c r="D2" s="134" t="s">
        <v>595</v>
      </c>
      <c r="H2" s="353" t="s">
        <v>17</v>
      </c>
      <c r="I2" s="134" t="s">
        <v>772</v>
      </c>
      <c r="J2" s="134" t="s">
        <v>773</v>
      </c>
      <c r="K2" s="134" t="s">
        <v>774</v>
      </c>
      <c r="L2" s="134" t="s">
        <v>775</v>
      </c>
      <c r="M2" s="528" t="s">
        <v>923</v>
      </c>
      <c r="N2" s="555" t="s">
        <v>926</v>
      </c>
      <c r="O2" s="555" t="s">
        <v>927</v>
      </c>
      <c r="P2" s="555" t="s">
        <v>928</v>
      </c>
      <c r="Q2" s="555" t="s">
        <v>929</v>
      </c>
      <c r="R2" s="555" t="s">
        <v>930</v>
      </c>
      <c r="S2" s="555" t="s">
        <v>931</v>
      </c>
      <c r="T2" s="555" t="s">
        <v>932</v>
      </c>
      <c r="U2" s="555" t="s">
        <v>933</v>
      </c>
      <c r="V2" s="555" t="s">
        <v>934</v>
      </c>
      <c r="W2" s="555" t="s">
        <v>935</v>
      </c>
      <c r="X2" s="555" t="s">
        <v>936</v>
      </c>
      <c r="Y2" s="555" t="s">
        <v>937</v>
      </c>
      <c r="Z2" s="555" t="s">
        <v>938</v>
      </c>
      <c r="AA2" s="555" t="s">
        <v>939</v>
      </c>
      <c r="AB2" s="555" t="s">
        <v>940</v>
      </c>
      <c r="AC2" s="555" t="s">
        <v>941</v>
      </c>
      <c r="AD2" s="555" t="s">
        <v>942</v>
      </c>
      <c r="AE2" s="556" t="s">
        <v>943</v>
      </c>
      <c r="AF2" s="556" t="s">
        <v>944</v>
      </c>
      <c r="AG2" s="556" t="s">
        <v>945</v>
      </c>
      <c r="AH2" s="556" t="s">
        <v>946</v>
      </c>
      <c r="AI2" s="556" t="s">
        <v>947</v>
      </c>
      <c r="AJ2" s="556" t="s">
        <v>948</v>
      </c>
      <c r="AK2" s="556" t="s">
        <v>949</v>
      </c>
      <c r="AL2" s="556" t="s">
        <v>950</v>
      </c>
      <c r="AM2" s="556" t="s">
        <v>951</v>
      </c>
      <c r="AN2" s="556" t="s">
        <v>952</v>
      </c>
      <c r="AO2" s="556" t="s">
        <v>953</v>
      </c>
      <c r="AP2" s="556" t="s">
        <v>954</v>
      </c>
      <c r="AQ2" s="556" t="s">
        <v>955</v>
      </c>
      <c r="AR2" s="556" t="s">
        <v>956</v>
      </c>
      <c r="AS2" s="556" t="s">
        <v>957</v>
      </c>
      <c r="AT2" s="556" t="s">
        <v>958</v>
      </c>
      <c r="AU2" s="556" t="s">
        <v>959</v>
      </c>
      <c r="AZ2" s="791" t="s">
        <v>1033</v>
      </c>
    </row>
    <row r="3" spans="1:52" x14ac:dyDescent="0.25">
      <c r="B3" t="s">
        <v>58</v>
      </c>
      <c r="C3" t="s">
        <v>1</v>
      </c>
      <c r="D3" s="134" t="s">
        <v>541</v>
      </c>
      <c r="F3" t="s">
        <v>748</v>
      </c>
      <c r="G3" t="s">
        <v>761</v>
      </c>
      <c r="H3" s="351" t="b">
        <f>LEN('company data'!B36)&gt;=6</f>
        <v>0</v>
      </c>
      <c r="I3" t="b">
        <f>LEN('contact persons'!C12)&gt;=6</f>
        <v>0</v>
      </c>
      <c r="J3" s="531" t="b">
        <f>LEN('contact persons'!C20)&gt;=6</f>
        <v>0</v>
      </c>
      <c r="K3" t="b">
        <f>LEN('contact persons'!C29)&gt;=6</f>
        <v>0</v>
      </c>
      <c r="L3" s="531" t="b">
        <f>LEN('contact persons'!C37)&gt;=6</f>
        <v>0</v>
      </c>
      <c r="M3" s="499" t="b">
        <f>LEN(applications!K15)&gt;=6</f>
        <v>0</v>
      </c>
      <c r="N3" s="547" t="b">
        <f>LEN('contact persons VW Group'!$G11)&gt;=6</f>
        <v>0</v>
      </c>
      <c r="O3" s="547" t="b">
        <f>LEN('contact persons VW Group'!$G12)&gt;=6</f>
        <v>0</v>
      </c>
      <c r="P3" s="547" t="b">
        <f>LEN('contact persons VW Group'!$G13)&gt;=6</f>
        <v>0</v>
      </c>
      <c r="Q3" s="547" t="b">
        <f>LEN('contact persons VW Group'!$G14)&gt;=6</f>
        <v>0</v>
      </c>
      <c r="R3" s="547" t="b">
        <f>LEN('contact persons VW Group'!$G15)&gt;=6</f>
        <v>0</v>
      </c>
      <c r="S3" s="547" t="b">
        <f>LEN('contact persons VW Group'!$G16)&gt;=6</f>
        <v>0</v>
      </c>
      <c r="T3" s="547" t="b">
        <f>LEN('contact persons VW Group'!$G17)&gt;=6</f>
        <v>0</v>
      </c>
      <c r="U3" s="547" t="b">
        <f>LEN('contact persons VW Group'!$G18)&gt;=6</f>
        <v>0</v>
      </c>
      <c r="V3" s="547" t="b">
        <f>LEN('contact persons VW Group'!$G19)&gt;=6</f>
        <v>0</v>
      </c>
      <c r="W3" s="547" t="b">
        <f>LEN('contact persons VW Group'!$G20)&gt;=6</f>
        <v>0</v>
      </c>
      <c r="X3" s="547" t="b">
        <f>LEN('contact persons VW Group'!$G21)&gt;=6</f>
        <v>0</v>
      </c>
      <c r="Y3" s="547" t="b">
        <f>LEN('contact persons VW Group'!$G22)&gt;=6</f>
        <v>0</v>
      </c>
      <c r="Z3" s="547" t="b">
        <f>LEN('contact persons VW Group'!$G23)&gt;=6</f>
        <v>0</v>
      </c>
      <c r="AA3" s="547" t="b">
        <f>LEN('contact persons VW Group'!$G24)&gt;=6</f>
        <v>0</v>
      </c>
      <c r="AB3" s="547" t="b">
        <f>LEN('contact persons VW Group'!$G25)&gt;=6</f>
        <v>0</v>
      </c>
      <c r="AC3" s="547" t="b">
        <f>LEN('contact persons VW Group'!$G27)&gt;=6</f>
        <v>0</v>
      </c>
      <c r="AD3" s="547" t="b">
        <f>LEN('contact persons VW Group'!$G28)&gt;=6</f>
        <v>0</v>
      </c>
      <c r="AE3" s="547" t="b">
        <f>LEN('contact persons VW Group'!$G34)&gt;=6</f>
        <v>0</v>
      </c>
      <c r="AF3" s="547" t="b">
        <f>LEN('contact persons VW Group'!$G35)&gt;=6</f>
        <v>0</v>
      </c>
      <c r="AG3" s="547" t="b">
        <f>LEN('contact persons VW Group'!$G36)&gt;=6</f>
        <v>0</v>
      </c>
      <c r="AH3" s="547" t="b">
        <f>LEN('contact persons VW Group'!$G37)&gt;=6</f>
        <v>0</v>
      </c>
      <c r="AI3" s="547" t="b">
        <f>LEN('contact persons VW Group'!$G38)&gt;=6</f>
        <v>0</v>
      </c>
      <c r="AJ3" s="547" t="b">
        <f>LEN('contact persons VW Group'!$G39)&gt;=6</f>
        <v>0</v>
      </c>
      <c r="AK3" s="547" t="b">
        <f>LEN('contact persons VW Group'!$G40)&gt;=6</f>
        <v>0</v>
      </c>
      <c r="AL3" s="547" t="b">
        <f>LEN('contact persons VW Group'!$G41)&gt;=6</f>
        <v>0</v>
      </c>
      <c r="AM3" s="547" t="b">
        <f>LEN('contact persons VW Group'!$G42)&gt;=6</f>
        <v>0</v>
      </c>
      <c r="AN3" s="547" t="b">
        <f>LEN('contact persons VW Group'!$G43)&gt;=6</f>
        <v>0</v>
      </c>
      <c r="AO3" s="547" t="b">
        <f>LEN('contact persons VW Group'!$G44)&gt;=6</f>
        <v>0</v>
      </c>
      <c r="AP3" s="547" t="b">
        <f>LEN('contact persons VW Group'!$G45)&gt;=6</f>
        <v>0</v>
      </c>
      <c r="AQ3" s="547" t="b">
        <f>LEN('contact persons VW Group'!$G46)&gt;=6</f>
        <v>0</v>
      </c>
      <c r="AR3" s="547" t="b">
        <f>LEN('contact persons VW Group'!$G47)&gt;=6</f>
        <v>0</v>
      </c>
      <c r="AS3" s="547" t="b">
        <f>LEN('contact persons VW Group'!$G48)&gt;=6</f>
        <v>0</v>
      </c>
      <c r="AT3" s="547" t="b">
        <f>LEN('contact persons VW Group'!$G50)&gt;=6</f>
        <v>0</v>
      </c>
      <c r="AU3" s="547" t="b">
        <f>LEN('contact persons VW Group'!$G51)&gt;=6</f>
        <v>0</v>
      </c>
      <c r="AZ3" s="792" t="s">
        <v>1072</v>
      </c>
    </row>
    <row r="4" spans="1:52" x14ac:dyDescent="0.25">
      <c r="B4" t="s">
        <v>59</v>
      </c>
      <c r="C4" t="s">
        <v>675</v>
      </c>
      <c r="D4" s="134" t="s">
        <v>506</v>
      </c>
      <c r="F4" t="s">
        <v>747</v>
      </c>
      <c r="G4" t="s">
        <v>762</v>
      </c>
      <c r="H4" s="351" t="b">
        <f>LEN('company data_de'!B24)&lt;=254</f>
        <v>1</v>
      </c>
      <c r="I4" t="b">
        <f>LEN('contact persons'!C12)&lt;=254</f>
        <v>1</v>
      </c>
      <c r="J4" s="531" t="b">
        <f>LEN('contact persons'!C20)&lt;=254</f>
        <v>1</v>
      </c>
      <c r="K4" t="b">
        <f>LEN('contact persons'!C29)&lt;=254</f>
        <v>1</v>
      </c>
      <c r="L4" s="531" t="b">
        <f>LEN('contact persons'!C37)&lt;=254</f>
        <v>1</v>
      </c>
      <c r="M4" s="499" t="b">
        <f>LEN(applications!K15)&lt;=254</f>
        <v>1</v>
      </c>
      <c r="N4" s="547" t="b">
        <f>LEN('contact persons VW Group'!$G11)&lt;=254</f>
        <v>1</v>
      </c>
      <c r="O4" s="547" t="b">
        <f>LEN('contact persons VW Group'!$G12)&lt;=254</f>
        <v>1</v>
      </c>
      <c r="P4" s="547" t="b">
        <f>LEN('contact persons VW Group'!$G13)&lt;=254</f>
        <v>1</v>
      </c>
      <c r="Q4" s="547" t="b">
        <f>LEN('contact persons VW Group'!$G14)&lt;=254</f>
        <v>1</v>
      </c>
      <c r="R4" s="547" t="b">
        <f>LEN('contact persons VW Group'!$G15)&lt;=254</f>
        <v>1</v>
      </c>
      <c r="S4" s="547" t="b">
        <f>LEN('contact persons VW Group'!$G16)&lt;=254</f>
        <v>1</v>
      </c>
      <c r="T4" s="547" t="b">
        <f>LEN('contact persons VW Group'!$G17)&lt;=254</f>
        <v>1</v>
      </c>
      <c r="U4" s="547" t="b">
        <f>LEN('contact persons VW Group'!$G18)&lt;=254</f>
        <v>1</v>
      </c>
      <c r="V4" s="547" t="b">
        <f>LEN('contact persons VW Group'!$G19)&lt;=254</f>
        <v>1</v>
      </c>
      <c r="W4" s="547" t="b">
        <f>LEN('contact persons VW Group'!$G20)&lt;=254</f>
        <v>1</v>
      </c>
      <c r="X4" s="547" t="b">
        <f>LEN('contact persons VW Group'!$G21)&lt;=254</f>
        <v>1</v>
      </c>
      <c r="Y4" s="547" t="b">
        <f>LEN('contact persons VW Group'!$G22)&lt;=254</f>
        <v>1</v>
      </c>
      <c r="Z4" s="547" t="b">
        <f>LEN('contact persons VW Group'!$G23)&lt;=254</f>
        <v>1</v>
      </c>
      <c r="AA4" s="547" t="b">
        <f>LEN('contact persons VW Group'!$G24)&lt;=254</f>
        <v>1</v>
      </c>
      <c r="AB4" s="547" t="b">
        <f>LEN('contact persons VW Group'!$G25)&lt;=254</f>
        <v>1</v>
      </c>
      <c r="AC4" s="547" t="b">
        <f>LEN('contact persons VW Group'!$G27)&lt;=254</f>
        <v>1</v>
      </c>
      <c r="AD4" s="547" t="b">
        <f>LEN('contact persons VW Group'!$G28)&lt;=254</f>
        <v>1</v>
      </c>
      <c r="AE4" s="547" t="b">
        <f>LEN('contact persons VW Group'!$G34)&lt;=254</f>
        <v>1</v>
      </c>
      <c r="AF4" s="547" t="b">
        <f>LEN('contact persons VW Group'!$G35)&lt;=254</f>
        <v>1</v>
      </c>
      <c r="AG4" s="547" t="b">
        <f>LEN('contact persons VW Group'!$G36)&lt;=254</f>
        <v>1</v>
      </c>
      <c r="AH4" s="547" t="b">
        <f>LEN('contact persons VW Group'!$G37)&lt;=254</f>
        <v>1</v>
      </c>
      <c r="AI4" s="547" t="b">
        <f>LEN('contact persons VW Group'!$G38)&lt;=254</f>
        <v>1</v>
      </c>
      <c r="AJ4" s="547" t="b">
        <f>LEN('contact persons VW Group'!$G39)&lt;=254</f>
        <v>1</v>
      </c>
      <c r="AK4" s="547" t="b">
        <f>LEN('contact persons VW Group'!$G40)&lt;=254</f>
        <v>1</v>
      </c>
      <c r="AL4" s="547" t="b">
        <f>LEN('contact persons VW Group'!$G41)&lt;=254</f>
        <v>1</v>
      </c>
      <c r="AM4" s="547" t="b">
        <f>LEN('contact persons VW Group'!$G42)&lt;=254</f>
        <v>1</v>
      </c>
      <c r="AN4" s="547" t="b">
        <f>LEN('contact persons VW Group'!$G43)&lt;=254</f>
        <v>1</v>
      </c>
      <c r="AO4" s="547" t="b">
        <f>LEN('contact persons VW Group'!$G44)&lt;=254</f>
        <v>1</v>
      </c>
      <c r="AP4" s="547" t="b">
        <f>LEN('contact persons VW Group'!$G45)&lt;=254</f>
        <v>1</v>
      </c>
      <c r="AQ4" s="547" t="b">
        <f>LEN('contact persons VW Group'!$G46)&lt;=254</f>
        <v>1</v>
      </c>
      <c r="AR4" s="547" t="b">
        <f>LEN('contact persons VW Group'!$G47)&lt;=254</f>
        <v>1</v>
      </c>
      <c r="AS4" s="547" t="b">
        <f>LEN('contact persons VW Group'!$G48)&lt;=254</f>
        <v>1</v>
      </c>
      <c r="AT4" s="547" t="b">
        <f>LEN('contact persons VW Group'!$G50)&lt;=254</f>
        <v>1</v>
      </c>
      <c r="AU4" s="547" t="b">
        <f>LEN('contact persons VW Group'!$G51)&lt;=254</f>
        <v>1</v>
      </c>
    </row>
    <row r="5" spans="1:52" x14ac:dyDescent="0.25">
      <c r="B5" t="s">
        <v>924</v>
      </c>
      <c r="C5" t="s">
        <v>676</v>
      </c>
      <c r="D5" s="134" t="s">
        <v>441</v>
      </c>
      <c r="F5" s="348" t="s">
        <v>749</v>
      </c>
      <c r="G5" t="s">
        <v>763</v>
      </c>
      <c r="H5" s="351" t="b">
        <f>ISNUMBER(FIND("@",'company data'!B36))</f>
        <v>0</v>
      </c>
      <c r="I5" t="b">
        <f>ISNUMBER(FIND("@",'contact persons'!C12))</f>
        <v>0</v>
      </c>
      <c r="J5" s="531" t="b">
        <f>ISNUMBER(FIND("@",'contact persons'!C20))</f>
        <v>0</v>
      </c>
      <c r="K5" t="b">
        <f>ISNUMBER(FIND("@",'contact persons'!C29))</f>
        <v>0</v>
      </c>
      <c r="L5" s="531" t="b">
        <f>ISNUMBER(FIND("@",'contact persons'!C37))</f>
        <v>0</v>
      </c>
      <c r="M5" s="499" t="b">
        <f>ISNUMBER(FIND("@",applications!K15))</f>
        <v>0</v>
      </c>
      <c r="N5" s="547" t="b">
        <f>ISNUMBER(FIND("@",'contact persons VW Group'!$G11))</f>
        <v>0</v>
      </c>
      <c r="O5" s="547" t="b">
        <f>ISNUMBER(FIND("@",'contact persons VW Group'!$G12))</f>
        <v>0</v>
      </c>
      <c r="P5" s="547" t="b">
        <f>ISNUMBER(FIND("@",'contact persons VW Group'!$G13))</f>
        <v>0</v>
      </c>
      <c r="Q5" s="547" t="b">
        <f>ISNUMBER(FIND("@",'contact persons VW Group'!$G14))</f>
        <v>0</v>
      </c>
      <c r="R5" s="547" t="b">
        <f>ISNUMBER(FIND("@",'contact persons VW Group'!$G15))</f>
        <v>0</v>
      </c>
      <c r="S5" s="547" t="b">
        <f>ISNUMBER(FIND("@",'contact persons VW Group'!$G16))</f>
        <v>0</v>
      </c>
      <c r="T5" s="547" t="b">
        <f>ISNUMBER(FIND("@",'contact persons VW Group'!$G17))</f>
        <v>0</v>
      </c>
      <c r="U5" s="547" t="b">
        <f>ISNUMBER(FIND("@",'contact persons VW Group'!$G18))</f>
        <v>0</v>
      </c>
      <c r="V5" s="547" t="b">
        <f>ISNUMBER(FIND("@",'contact persons VW Group'!$G19))</f>
        <v>0</v>
      </c>
      <c r="W5" s="547" t="b">
        <f>ISNUMBER(FIND("@",'contact persons VW Group'!$G20))</f>
        <v>0</v>
      </c>
      <c r="X5" s="547" t="b">
        <f>ISNUMBER(FIND("@",'contact persons VW Group'!$G21))</f>
        <v>0</v>
      </c>
      <c r="Y5" s="547" t="b">
        <f>ISNUMBER(FIND("@",'contact persons VW Group'!$G22))</f>
        <v>0</v>
      </c>
      <c r="Z5" s="547" t="b">
        <f>ISNUMBER(FIND("@",'contact persons VW Group'!$G23))</f>
        <v>0</v>
      </c>
      <c r="AA5" s="547" t="b">
        <f>ISNUMBER(FIND("@",'contact persons VW Group'!$G24))</f>
        <v>0</v>
      </c>
      <c r="AB5" s="547" t="b">
        <f>ISNUMBER(FIND("@",'contact persons VW Group'!$G25))</f>
        <v>0</v>
      </c>
      <c r="AC5" s="547" t="b">
        <f>ISNUMBER(FIND("@",'contact persons VW Group'!$G27))</f>
        <v>0</v>
      </c>
      <c r="AD5" s="547" t="b">
        <f>ISNUMBER(FIND("@",'contact persons VW Group'!$G28))</f>
        <v>0</v>
      </c>
      <c r="AE5" s="547" t="b">
        <f>ISNUMBER(FIND("@",'contact persons VW Group'!$G34))</f>
        <v>0</v>
      </c>
      <c r="AF5" s="547" t="b">
        <f>ISNUMBER(FIND("@",'contact persons VW Group'!$G35))</f>
        <v>0</v>
      </c>
      <c r="AG5" s="547" t="b">
        <f>ISNUMBER(FIND("@",'contact persons VW Group'!$G36))</f>
        <v>0</v>
      </c>
      <c r="AH5" s="547" t="b">
        <f>ISNUMBER(FIND("@",'contact persons VW Group'!$G37))</f>
        <v>0</v>
      </c>
      <c r="AI5" s="547" t="b">
        <f>ISNUMBER(FIND("@",'contact persons VW Group'!$G38))</f>
        <v>0</v>
      </c>
      <c r="AJ5" s="547" t="b">
        <f>ISNUMBER(FIND("@",'contact persons VW Group'!$G39))</f>
        <v>0</v>
      </c>
      <c r="AK5" s="547" t="b">
        <f>ISNUMBER(FIND("@",'contact persons VW Group'!$G40))</f>
        <v>0</v>
      </c>
      <c r="AL5" s="547" t="b">
        <f>ISNUMBER(FIND("@",'contact persons VW Group'!$G41))</f>
        <v>0</v>
      </c>
      <c r="AM5" s="547" t="b">
        <f>ISNUMBER(FIND("@",'contact persons VW Group'!$G42))</f>
        <v>0</v>
      </c>
      <c r="AN5" s="547" t="b">
        <f>ISNUMBER(FIND("@",'contact persons VW Group'!$G43))</f>
        <v>0</v>
      </c>
      <c r="AO5" s="547" t="b">
        <f>ISNUMBER(FIND("@",'contact persons VW Group'!$G44))</f>
        <v>0</v>
      </c>
      <c r="AP5" s="547" t="b">
        <f>ISNUMBER(FIND("@",'contact persons VW Group'!$G45))</f>
        <v>0</v>
      </c>
      <c r="AQ5" s="547" t="b">
        <f>ISNUMBER(FIND("@",'contact persons VW Group'!$G46))</f>
        <v>0</v>
      </c>
      <c r="AR5" s="547" t="b">
        <f>ISNUMBER(FIND("@",'contact persons VW Group'!$G47))</f>
        <v>0</v>
      </c>
      <c r="AS5" s="547" t="b">
        <f>ISNUMBER(FIND("@",'contact persons VW Group'!$G48))</f>
        <v>0</v>
      </c>
      <c r="AT5" s="547" t="b">
        <f>ISNUMBER(FIND("@",'contact persons VW Group'!$G50))</f>
        <v>0</v>
      </c>
      <c r="AU5" s="547" t="b">
        <f>ISNUMBER(FIND("@",'contact persons VW Group'!$G51))</f>
        <v>0</v>
      </c>
    </row>
    <row r="6" spans="1:52" x14ac:dyDescent="0.25">
      <c r="C6" t="s">
        <v>677</v>
      </c>
      <c r="D6" s="134" t="s">
        <v>359</v>
      </c>
      <c r="F6" s="348" t="s">
        <v>750</v>
      </c>
      <c r="G6" t="s">
        <v>770</v>
      </c>
      <c r="H6" s="351" t="b">
        <f>AND(LEFT('company data'!B36,1)&lt;&gt;"@",RIGHT('company data'!B36,1)&lt;&gt;"@")</f>
        <v>1</v>
      </c>
      <c r="I6" t="b">
        <f>AND(LEFT('contact persons'!C12,1)&lt;&gt;"@",RIGHT('contact persons'!C12,1)&lt;&gt;"@")</f>
        <v>1</v>
      </c>
      <c r="J6" s="531" t="b">
        <f>AND(LEFT('contact persons'!C20,1)&lt;&gt;"@",RIGHT('contact persons'!C20,1)&lt;&gt;"@")</f>
        <v>1</v>
      </c>
      <c r="K6" t="b">
        <f>AND(LEFT('contact persons'!C29,1)&lt;&gt;"@",RIGHT('contact persons'!C29,1)&lt;&gt;"@")</f>
        <v>1</v>
      </c>
      <c r="L6" s="531" t="b">
        <f>AND(LEFT('contact persons'!C37,1)&lt;&gt;"@",RIGHT('contact persons'!C37,1)&lt;&gt;"@")</f>
        <v>1</v>
      </c>
      <c r="M6" s="499" t="b">
        <f>AND(LEFT(applications!K15,1)&lt;&gt;"@",RIGHT(applications!K15,1)&lt;&gt;"@")</f>
        <v>1</v>
      </c>
      <c r="N6" s="547" t="b">
        <f>AND(LEFT('contact persons VW Group'!$G11,1)&lt;&gt;"@",RIGHT('contact persons VW Group'!$G11,1)&lt;&gt;"@")</f>
        <v>1</v>
      </c>
      <c r="O6" s="547" t="b">
        <f>AND(LEFT('contact persons VW Group'!$G12,1)&lt;&gt;"@",RIGHT('contact persons VW Group'!$G12,1)&lt;&gt;"@")</f>
        <v>1</v>
      </c>
      <c r="P6" s="547" t="b">
        <f>AND(LEFT('contact persons VW Group'!$G13,1)&lt;&gt;"@",RIGHT('contact persons VW Group'!$G13,1)&lt;&gt;"@")</f>
        <v>1</v>
      </c>
      <c r="Q6" s="547" t="b">
        <f>AND(LEFT('contact persons VW Group'!$G14,1)&lt;&gt;"@",RIGHT('contact persons VW Group'!$G14,1)&lt;&gt;"@")</f>
        <v>1</v>
      </c>
      <c r="R6" s="547" t="b">
        <f>AND(LEFT('contact persons VW Group'!$G15,1)&lt;&gt;"@",RIGHT('contact persons VW Group'!$G15,1)&lt;&gt;"@")</f>
        <v>1</v>
      </c>
      <c r="S6" s="547" t="b">
        <f>AND(LEFT('contact persons VW Group'!$G16,1)&lt;&gt;"@",RIGHT('contact persons VW Group'!$G16,1)&lt;&gt;"@")</f>
        <v>1</v>
      </c>
      <c r="T6" s="547" t="b">
        <f>AND(LEFT('contact persons VW Group'!$G17,1)&lt;&gt;"@",RIGHT('contact persons VW Group'!$G17,1)&lt;&gt;"@")</f>
        <v>1</v>
      </c>
      <c r="U6" s="547" t="b">
        <f>AND(LEFT('contact persons VW Group'!$G18,1)&lt;&gt;"@",RIGHT('contact persons VW Group'!$G18,1)&lt;&gt;"@")</f>
        <v>1</v>
      </c>
      <c r="V6" s="547" t="b">
        <f>AND(LEFT('contact persons VW Group'!$G19,1)&lt;&gt;"@",RIGHT('contact persons VW Group'!$G19,1)&lt;&gt;"@")</f>
        <v>1</v>
      </c>
      <c r="W6" s="547" t="b">
        <f>AND(LEFT('contact persons VW Group'!$G20,1)&lt;&gt;"@",RIGHT('contact persons VW Group'!$G20,1)&lt;&gt;"@")</f>
        <v>1</v>
      </c>
      <c r="X6" s="547" t="b">
        <f>AND(LEFT('contact persons VW Group'!$G21,1)&lt;&gt;"@",RIGHT('contact persons VW Group'!$G21,1)&lt;&gt;"@")</f>
        <v>1</v>
      </c>
      <c r="Y6" s="547" t="b">
        <f>AND(LEFT('contact persons VW Group'!$G22,1)&lt;&gt;"@",RIGHT('contact persons VW Group'!$G22,1)&lt;&gt;"@")</f>
        <v>1</v>
      </c>
      <c r="Z6" s="547" t="b">
        <f>AND(LEFT('contact persons VW Group'!$G23,1)&lt;&gt;"@",RIGHT('contact persons VW Group'!$G23,1)&lt;&gt;"@")</f>
        <v>1</v>
      </c>
      <c r="AA6" s="547" t="b">
        <f>AND(LEFT('contact persons VW Group'!$G24,1)&lt;&gt;"@",RIGHT('contact persons VW Group'!$G24,1)&lt;&gt;"@")</f>
        <v>1</v>
      </c>
      <c r="AB6" s="547" t="b">
        <f>AND(LEFT('contact persons VW Group'!$G25,1)&lt;&gt;"@",RIGHT('contact persons VW Group'!$G25,1)&lt;&gt;"@")</f>
        <v>1</v>
      </c>
      <c r="AC6" s="547" t="b">
        <f>AND(LEFT('contact persons VW Group'!$G27,1)&lt;&gt;"@",RIGHT('contact persons VW Group'!$G27,1)&lt;&gt;"@")</f>
        <v>1</v>
      </c>
      <c r="AD6" s="547" t="b">
        <f>AND(LEFT('contact persons VW Group'!$G28,1)&lt;&gt;"@",RIGHT('contact persons VW Group'!$G28,1)&lt;&gt;"@")</f>
        <v>1</v>
      </c>
      <c r="AE6" s="547" t="b">
        <f>AND(LEFT('contact persons VW Group'!$G34,1)&lt;&gt;"@",RIGHT('contact persons VW Group'!$G34,1)&lt;&gt;"@")</f>
        <v>1</v>
      </c>
      <c r="AF6" s="547" t="b">
        <f>AND(LEFT('contact persons VW Group'!$G35,1)&lt;&gt;"@",RIGHT('contact persons VW Group'!$G35,1)&lt;&gt;"@")</f>
        <v>1</v>
      </c>
      <c r="AG6" s="547" t="b">
        <f>AND(LEFT('contact persons VW Group'!$G36,1)&lt;&gt;"@",RIGHT('contact persons VW Group'!$G36,1)&lt;&gt;"@")</f>
        <v>1</v>
      </c>
      <c r="AH6" s="547" t="b">
        <f>AND(LEFT('contact persons VW Group'!$G37,1)&lt;&gt;"@",RIGHT('contact persons VW Group'!$G37,1)&lt;&gt;"@")</f>
        <v>1</v>
      </c>
      <c r="AI6" s="547" t="b">
        <f>AND(LEFT('contact persons VW Group'!$G38,1)&lt;&gt;"@",RIGHT('contact persons VW Group'!$G38,1)&lt;&gt;"@")</f>
        <v>1</v>
      </c>
      <c r="AJ6" s="547" t="b">
        <f>AND(LEFT('contact persons VW Group'!$G39,1)&lt;&gt;"@",RIGHT('contact persons VW Group'!$G39,1)&lt;&gt;"@")</f>
        <v>1</v>
      </c>
      <c r="AK6" s="547" t="b">
        <f>AND(LEFT('contact persons VW Group'!$G40,1)&lt;&gt;"@",RIGHT('contact persons VW Group'!$G40,1)&lt;&gt;"@")</f>
        <v>1</v>
      </c>
      <c r="AL6" s="547" t="b">
        <f>AND(LEFT('contact persons VW Group'!$G41,1)&lt;&gt;"@",RIGHT('contact persons VW Group'!$G41,1)&lt;&gt;"@")</f>
        <v>1</v>
      </c>
      <c r="AM6" s="547" t="b">
        <f>AND(LEFT('contact persons VW Group'!$G42,1)&lt;&gt;"@",RIGHT('contact persons VW Group'!$G42,1)&lt;&gt;"@")</f>
        <v>1</v>
      </c>
      <c r="AN6" s="547" t="b">
        <f>AND(LEFT('contact persons VW Group'!$G43,1)&lt;&gt;"@",RIGHT('contact persons VW Group'!$G43,1)&lt;&gt;"@")</f>
        <v>1</v>
      </c>
      <c r="AO6" s="547" t="b">
        <f>AND(LEFT('contact persons VW Group'!$G44,1)&lt;&gt;"@",RIGHT('contact persons VW Group'!$G44,1)&lt;&gt;"@")</f>
        <v>1</v>
      </c>
      <c r="AP6" s="547" t="b">
        <f>AND(LEFT('contact persons VW Group'!$G45,1)&lt;&gt;"@",RIGHT('contact persons VW Group'!$G45,1)&lt;&gt;"@")</f>
        <v>1</v>
      </c>
      <c r="AQ6" s="547" t="b">
        <f>AND(LEFT('contact persons VW Group'!$G46,1)&lt;&gt;"@",RIGHT('contact persons VW Group'!$G46,1)&lt;&gt;"@")</f>
        <v>1</v>
      </c>
      <c r="AR6" s="547" t="b">
        <f>AND(LEFT('contact persons VW Group'!$G47,1)&lt;&gt;"@",RIGHT('contact persons VW Group'!$G47,1)&lt;&gt;"@")</f>
        <v>1</v>
      </c>
      <c r="AS6" s="547" t="b">
        <f>AND(LEFT('contact persons VW Group'!$G48,1)&lt;&gt;"@",RIGHT('contact persons VW Group'!$G48,1)&lt;&gt;"@")</f>
        <v>1</v>
      </c>
      <c r="AT6" s="547" t="b">
        <f>AND(LEFT('contact persons VW Group'!$G50,1)&lt;&gt;"@",RIGHT('contact persons VW Group'!$G50,1)&lt;&gt;"@")</f>
        <v>1</v>
      </c>
      <c r="AU6" s="547" t="b">
        <f>AND(LEFT('contact persons VW Group'!$G51,1)&lt;&gt;"@",RIGHT('contact persons VW Group'!$G51,1)&lt;&gt;"@")</f>
        <v>1</v>
      </c>
    </row>
    <row r="7" spans="1:52" x14ac:dyDescent="0.25">
      <c r="C7" t="s">
        <v>678</v>
      </c>
      <c r="D7" s="134" t="s">
        <v>282</v>
      </c>
      <c r="F7" t="s">
        <v>751</v>
      </c>
      <c r="G7" t="s">
        <v>764</v>
      </c>
      <c r="H7" s="351" t="b">
        <f>AND(LEFT('company data'!B36,1)&lt;&gt;".",RIGHT('company data'!B36,1)&lt;&gt;".")</f>
        <v>1</v>
      </c>
      <c r="I7" t="b">
        <f>AND(LEFT('contact persons'!C12,1)&lt;&gt;".",RIGHT('contact persons'!C12,1)&lt;&gt;".")</f>
        <v>1</v>
      </c>
      <c r="J7" s="531" t="b">
        <f>AND(LEFT('contact persons'!C20,1)&lt;&gt;".",RIGHT('contact persons'!C20,1)&lt;&gt;".")</f>
        <v>1</v>
      </c>
      <c r="K7" t="b">
        <f>AND(LEFT('contact persons'!C29,1)&lt;&gt;".",RIGHT('contact persons'!C29,1)&lt;&gt;".")</f>
        <v>1</v>
      </c>
      <c r="L7" s="531" t="b">
        <f>AND(LEFT('contact persons'!C37,1)&lt;&gt;".",RIGHT('contact persons'!C37,1)&lt;&gt;".")</f>
        <v>1</v>
      </c>
      <c r="M7" s="499" t="b">
        <f>AND(LEFT(applications!K15,1)&lt;&gt;".",RIGHT(applications!K15,1)&lt;&gt;".")</f>
        <v>1</v>
      </c>
      <c r="N7" s="547" t="b">
        <f>AND(LEFT('contact persons VW Group'!$G11,1)&lt;&gt;".",RIGHT('contact persons VW Group'!$G11,1)&lt;&gt;".")</f>
        <v>1</v>
      </c>
      <c r="O7" s="547" t="b">
        <f>AND(LEFT('contact persons VW Group'!$G12,1)&lt;&gt;".",RIGHT('contact persons VW Group'!$G12,1)&lt;&gt;".")</f>
        <v>1</v>
      </c>
      <c r="P7" s="547" t="b">
        <f>AND(LEFT('contact persons VW Group'!$G13,1)&lt;&gt;".",RIGHT('contact persons VW Group'!$G13,1)&lt;&gt;".")</f>
        <v>1</v>
      </c>
      <c r="Q7" s="547" t="b">
        <f>AND(LEFT('contact persons VW Group'!$G14,1)&lt;&gt;".",RIGHT('contact persons VW Group'!$G14,1)&lt;&gt;".")</f>
        <v>1</v>
      </c>
      <c r="R7" s="547" t="b">
        <f>AND(LEFT('contact persons VW Group'!$G15,1)&lt;&gt;".",RIGHT('contact persons VW Group'!$G15,1)&lt;&gt;".")</f>
        <v>1</v>
      </c>
      <c r="S7" s="547" t="b">
        <f>AND(LEFT('contact persons VW Group'!$G16,1)&lt;&gt;".",RIGHT('contact persons VW Group'!$G16,1)&lt;&gt;".")</f>
        <v>1</v>
      </c>
      <c r="T7" s="547" t="b">
        <f>AND(LEFT('contact persons VW Group'!$G17,1)&lt;&gt;".",RIGHT('contact persons VW Group'!$G17,1)&lt;&gt;".")</f>
        <v>1</v>
      </c>
      <c r="U7" s="547" t="b">
        <f>AND(LEFT('contact persons VW Group'!$G18,1)&lt;&gt;".",RIGHT('contact persons VW Group'!$G18,1)&lt;&gt;".")</f>
        <v>1</v>
      </c>
      <c r="V7" s="547" t="b">
        <f>AND(LEFT('contact persons VW Group'!$G19,1)&lt;&gt;".",RIGHT('contact persons VW Group'!$G19,1)&lt;&gt;".")</f>
        <v>1</v>
      </c>
      <c r="W7" s="547" t="b">
        <f>AND(LEFT('contact persons VW Group'!$G20,1)&lt;&gt;".",RIGHT('contact persons VW Group'!$G20,1)&lt;&gt;".")</f>
        <v>1</v>
      </c>
      <c r="X7" s="547" t="b">
        <f>AND(LEFT('contact persons VW Group'!$G21,1)&lt;&gt;".",RIGHT('contact persons VW Group'!$G21,1)&lt;&gt;".")</f>
        <v>1</v>
      </c>
      <c r="Y7" s="547" t="b">
        <f>AND(LEFT('contact persons VW Group'!$G22,1)&lt;&gt;".",RIGHT('contact persons VW Group'!$G22,1)&lt;&gt;".")</f>
        <v>1</v>
      </c>
      <c r="Z7" s="547" t="b">
        <f>AND(LEFT('contact persons VW Group'!$G23,1)&lt;&gt;".",RIGHT('contact persons VW Group'!$G23,1)&lt;&gt;".")</f>
        <v>1</v>
      </c>
      <c r="AA7" s="547" t="b">
        <f>AND(LEFT('contact persons VW Group'!$G24,1)&lt;&gt;".",RIGHT('contact persons VW Group'!$G24,1)&lt;&gt;".")</f>
        <v>1</v>
      </c>
      <c r="AB7" s="547" t="b">
        <f>AND(LEFT('contact persons VW Group'!$G25,1)&lt;&gt;".",RIGHT('contact persons VW Group'!$G25,1)&lt;&gt;".")</f>
        <v>1</v>
      </c>
      <c r="AC7" s="547" t="b">
        <f>AND(LEFT('contact persons VW Group'!$G27,1)&lt;&gt;".",RIGHT('contact persons VW Group'!$G27,1)&lt;&gt;".")</f>
        <v>1</v>
      </c>
      <c r="AD7" s="547" t="b">
        <f>AND(LEFT('contact persons VW Group'!$G28,1)&lt;&gt;".",RIGHT('contact persons VW Group'!$G28,1)&lt;&gt;".")</f>
        <v>1</v>
      </c>
      <c r="AE7" s="547" t="b">
        <f>AND(LEFT('contact persons VW Group'!$G34,1)&lt;&gt;".",RIGHT('contact persons VW Group'!$G34,1)&lt;&gt;".")</f>
        <v>1</v>
      </c>
      <c r="AF7" s="547" t="b">
        <f>AND(LEFT('contact persons VW Group'!$G35,1)&lt;&gt;".",RIGHT('contact persons VW Group'!$G35,1)&lt;&gt;".")</f>
        <v>1</v>
      </c>
      <c r="AG7" s="547" t="b">
        <f>AND(LEFT('contact persons VW Group'!$G36,1)&lt;&gt;".",RIGHT('contact persons VW Group'!$G36,1)&lt;&gt;".")</f>
        <v>1</v>
      </c>
      <c r="AH7" s="547" t="b">
        <f>AND(LEFT('contact persons VW Group'!$G37,1)&lt;&gt;".",RIGHT('contact persons VW Group'!$G37,1)&lt;&gt;".")</f>
        <v>1</v>
      </c>
      <c r="AI7" s="547" t="b">
        <f>AND(LEFT('contact persons VW Group'!$G38,1)&lt;&gt;".",RIGHT('contact persons VW Group'!$G38,1)&lt;&gt;".")</f>
        <v>1</v>
      </c>
      <c r="AJ7" s="547" t="b">
        <f>AND(LEFT('contact persons VW Group'!$G39,1)&lt;&gt;".",RIGHT('contact persons VW Group'!$G39,1)&lt;&gt;".")</f>
        <v>1</v>
      </c>
      <c r="AK7" s="547" t="b">
        <f>AND(LEFT('contact persons VW Group'!$G40,1)&lt;&gt;".",RIGHT('contact persons VW Group'!$G40,1)&lt;&gt;".")</f>
        <v>1</v>
      </c>
      <c r="AL7" s="547" t="b">
        <f>AND(LEFT('contact persons VW Group'!$G41,1)&lt;&gt;".",RIGHT('contact persons VW Group'!$G41,1)&lt;&gt;".")</f>
        <v>1</v>
      </c>
      <c r="AM7" s="547" t="b">
        <f>AND(LEFT('contact persons VW Group'!$G42,1)&lt;&gt;".",RIGHT('contact persons VW Group'!$G42,1)&lt;&gt;".")</f>
        <v>1</v>
      </c>
      <c r="AN7" s="547" t="b">
        <f>AND(LEFT('contact persons VW Group'!$G43,1)&lt;&gt;".",RIGHT('contact persons VW Group'!$G43,1)&lt;&gt;".")</f>
        <v>1</v>
      </c>
      <c r="AO7" s="547" t="b">
        <f>AND(LEFT('contact persons VW Group'!$G44,1)&lt;&gt;".",RIGHT('contact persons VW Group'!$G44,1)&lt;&gt;".")</f>
        <v>1</v>
      </c>
      <c r="AP7" s="547" t="b">
        <f>AND(LEFT('contact persons VW Group'!$G45,1)&lt;&gt;".",RIGHT('contact persons VW Group'!$G45,1)&lt;&gt;".")</f>
        <v>1</v>
      </c>
      <c r="AQ7" s="547" t="b">
        <f>AND(LEFT('contact persons VW Group'!$G46,1)&lt;&gt;".",RIGHT('contact persons VW Group'!$G46,1)&lt;&gt;".")</f>
        <v>1</v>
      </c>
      <c r="AR7" s="547" t="b">
        <f>AND(LEFT('contact persons VW Group'!$G47,1)&lt;&gt;".",RIGHT('contact persons VW Group'!$G47,1)&lt;&gt;".")</f>
        <v>1</v>
      </c>
      <c r="AS7" s="547" t="b">
        <f>AND(LEFT('contact persons VW Group'!$G48,1)&lt;&gt;".",RIGHT('contact persons VW Group'!$G48,1)&lt;&gt;".")</f>
        <v>1</v>
      </c>
      <c r="AT7" s="547" t="b">
        <f>AND(LEFT('contact persons VW Group'!$G50,1)&lt;&gt;".",RIGHT('contact persons VW Group'!$G50,1)&lt;&gt;".")</f>
        <v>1</v>
      </c>
      <c r="AU7" s="547" t="b">
        <f>AND(LEFT('contact persons VW Group'!$G51,1)&lt;&gt;".",RIGHT('contact persons VW Group'!$G51,1)&lt;&gt;".")</f>
        <v>1</v>
      </c>
    </row>
    <row r="8" spans="1:52" x14ac:dyDescent="0.25">
      <c r="C8" t="s">
        <v>679</v>
      </c>
      <c r="D8" s="134" t="s">
        <v>547</v>
      </c>
      <c r="F8" t="s">
        <v>752</v>
      </c>
      <c r="G8" t="s">
        <v>765</v>
      </c>
      <c r="H8" s="351" t="b">
        <f>ISNUMBER(FIND(".",'company data'!B36,FIND("@",'company data'!B36)+2))</f>
        <v>0</v>
      </c>
      <c r="I8" t="b">
        <f>ISNUMBER(FIND(".",'contact persons'!C12,FIND("@",'contact persons'!C12)+2))</f>
        <v>0</v>
      </c>
      <c r="J8" s="531" t="b">
        <f>ISNUMBER(FIND(".",'contact persons'!C20,FIND("@",'contact persons'!C20)+2))</f>
        <v>0</v>
      </c>
      <c r="K8" t="b">
        <f>ISNUMBER(FIND(".",'contact persons'!C29,FIND("@",'contact persons'!C29)+2))</f>
        <v>0</v>
      </c>
      <c r="L8" s="531" t="b">
        <f>ISNUMBER(FIND(".",'contact persons'!C37,FIND("@",'contact persons'!C37)+2))</f>
        <v>0</v>
      </c>
      <c r="M8" s="499" t="b">
        <f>ISNUMBER(FIND(".",applications!K15,FIND("@",applications!K15)+2))</f>
        <v>0</v>
      </c>
      <c r="N8" s="547" t="b">
        <f>ISNUMBER(FIND(".",'contact persons VW Group'!$G11,FIND("@",'contact persons VW Group'!$G11)+2))</f>
        <v>0</v>
      </c>
      <c r="O8" s="547" t="b">
        <f>ISNUMBER(FIND(".",'contact persons VW Group'!$G12,FIND("@",'contact persons VW Group'!$G12)+2))</f>
        <v>0</v>
      </c>
      <c r="P8" s="547" t="b">
        <f>ISNUMBER(FIND(".",'contact persons VW Group'!$G13,FIND("@",'contact persons VW Group'!$G13)+2))</f>
        <v>0</v>
      </c>
      <c r="Q8" s="547" t="b">
        <f>ISNUMBER(FIND(".",'contact persons VW Group'!$G14,FIND("@",'contact persons VW Group'!$G14)+2))</f>
        <v>0</v>
      </c>
      <c r="R8" s="547" t="b">
        <f>ISNUMBER(FIND(".",'contact persons VW Group'!$G15,FIND("@",'contact persons VW Group'!$G15)+2))</f>
        <v>0</v>
      </c>
      <c r="S8" s="547" t="b">
        <f>ISNUMBER(FIND(".",'contact persons VW Group'!$G16,FIND("@",'contact persons VW Group'!$G16)+2))</f>
        <v>0</v>
      </c>
      <c r="T8" s="547" t="b">
        <f>ISNUMBER(FIND(".",'contact persons VW Group'!$G17,FIND("@",'contact persons VW Group'!$G17)+2))</f>
        <v>0</v>
      </c>
      <c r="U8" s="547" t="b">
        <f>ISNUMBER(FIND(".",'contact persons VW Group'!$G18,FIND("@",'contact persons VW Group'!$G18)+2))</f>
        <v>0</v>
      </c>
      <c r="V8" s="547" t="b">
        <f>ISNUMBER(FIND(".",'contact persons VW Group'!$G19,FIND("@",'contact persons VW Group'!$G19)+2))</f>
        <v>0</v>
      </c>
      <c r="W8" s="547" t="b">
        <f>ISNUMBER(FIND(".",'contact persons VW Group'!$G20,FIND("@",'contact persons VW Group'!$G20)+2))</f>
        <v>0</v>
      </c>
      <c r="X8" s="547" t="b">
        <f>ISNUMBER(FIND(".",'contact persons VW Group'!$G21,FIND("@",'contact persons VW Group'!$G21)+2))</f>
        <v>0</v>
      </c>
      <c r="Y8" s="547" t="b">
        <f>ISNUMBER(FIND(".",'contact persons VW Group'!$G22,FIND("@",'contact persons VW Group'!$G22)+2))</f>
        <v>0</v>
      </c>
      <c r="Z8" s="547" t="b">
        <f>ISNUMBER(FIND(".",'contact persons VW Group'!$G23,FIND("@",'contact persons VW Group'!$G23)+2))</f>
        <v>0</v>
      </c>
      <c r="AA8" s="547" t="b">
        <f>ISNUMBER(FIND(".",'contact persons VW Group'!$G24,FIND("@",'contact persons VW Group'!$G24)+2))</f>
        <v>0</v>
      </c>
      <c r="AB8" s="547" t="b">
        <f>ISNUMBER(FIND(".",'contact persons VW Group'!$G25,FIND("@",'contact persons VW Group'!$G25)+2))</f>
        <v>0</v>
      </c>
      <c r="AC8" s="547" t="b">
        <f>ISNUMBER(FIND(".",'contact persons VW Group'!$G27,FIND("@",'contact persons VW Group'!$G27)+2))</f>
        <v>0</v>
      </c>
      <c r="AD8" s="547" t="b">
        <f>ISNUMBER(FIND(".",'contact persons VW Group'!$G28,FIND("@",'contact persons VW Group'!$G28)+2))</f>
        <v>0</v>
      </c>
      <c r="AE8" s="547" t="b">
        <f>ISNUMBER(FIND(".",'contact persons VW Group'!$G34,FIND("@",'contact persons VW Group'!$G34)+2))</f>
        <v>0</v>
      </c>
      <c r="AF8" s="547" t="b">
        <f>ISNUMBER(FIND(".",'contact persons VW Group'!$G35,FIND("@",'contact persons VW Group'!$G35)+2))</f>
        <v>0</v>
      </c>
      <c r="AG8" s="547" t="b">
        <f>ISNUMBER(FIND(".",'contact persons VW Group'!$G36,FIND("@",'contact persons VW Group'!$G36)+2))</f>
        <v>0</v>
      </c>
      <c r="AH8" s="547" t="b">
        <f>ISNUMBER(FIND(".",'contact persons VW Group'!$G37,FIND("@",'contact persons VW Group'!$G37)+2))</f>
        <v>0</v>
      </c>
      <c r="AI8" s="547" t="b">
        <f>ISNUMBER(FIND(".",'contact persons VW Group'!$G38,FIND("@",'contact persons VW Group'!$G38)+2))</f>
        <v>0</v>
      </c>
      <c r="AJ8" s="547" t="b">
        <f>ISNUMBER(FIND(".",'contact persons VW Group'!$G39,FIND("@",'contact persons VW Group'!$G39)+2))</f>
        <v>0</v>
      </c>
      <c r="AK8" s="547" t="b">
        <f>ISNUMBER(FIND(".",'contact persons VW Group'!$G40,FIND("@",'contact persons VW Group'!$G40)+2))</f>
        <v>0</v>
      </c>
      <c r="AL8" s="547" t="b">
        <f>ISNUMBER(FIND(".",'contact persons VW Group'!$G41,FIND("@",'contact persons VW Group'!$G41)+2))</f>
        <v>0</v>
      </c>
      <c r="AM8" s="547" t="b">
        <f>ISNUMBER(FIND(".",'contact persons VW Group'!$G42,FIND("@",'contact persons VW Group'!$G42)+2))</f>
        <v>0</v>
      </c>
      <c r="AN8" s="547" t="b">
        <f>ISNUMBER(FIND(".",'contact persons VW Group'!$G43,FIND("@",'contact persons VW Group'!$G43)+2))</f>
        <v>0</v>
      </c>
      <c r="AO8" s="547" t="b">
        <f>ISNUMBER(FIND(".",'contact persons VW Group'!$G44,FIND("@",'contact persons VW Group'!$G44)+2))</f>
        <v>0</v>
      </c>
      <c r="AP8" s="547" t="b">
        <f>ISNUMBER(FIND(".",'contact persons VW Group'!$G45,FIND("@",'contact persons VW Group'!$G45)+2))</f>
        <v>0</v>
      </c>
      <c r="AQ8" s="547" t="b">
        <f>ISNUMBER(FIND(".",'contact persons VW Group'!$G46,FIND("@",'contact persons VW Group'!$G46)+2))</f>
        <v>0</v>
      </c>
      <c r="AR8" s="547" t="b">
        <f>ISNUMBER(FIND(".",'contact persons VW Group'!$G47,FIND("@",'contact persons VW Group'!$G47)+2))</f>
        <v>0</v>
      </c>
      <c r="AS8" s="547" t="b">
        <f>ISNUMBER(FIND(".",'contact persons VW Group'!$G48,FIND("@",'contact persons VW Group'!$G48)+2))</f>
        <v>0</v>
      </c>
      <c r="AT8" s="547" t="b">
        <f>ISNUMBER(FIND(".",'contact persons VW Group'!$G50,FIND("@",'contact persons VW Group'!$G50)+2))</f>
        <v>0</v>
      </c>
      <c r="AU8" s="547" t="b">
        <f>ISNUMBER(FIND(".",'contact persons VW Group'!$G51,FIND("@",'contact persons VW Group'!$G51)+2))</f>
        <v>0</v>
      </c>
    </row>
    <row r="9" spans="1:52" x14ac:dyDescent="0.25">
      <c r="C9" t="s">
        <v>680</v>
      </c>
      <c r="D9" s="134" t="s">
        <v>480</v>
      </c>
      <c r="F9" t="s">
        <v>753</v>
      </c>
      <c r="G9" t="s">
        <v>766</v>
      </c>
      <c r="H9" s="351" t="b">
        <f>IF(ISERROR(AND(FIND("@",'company data'!B36)&gt;1)),FALSE,AND(FIND("@",'company data'!B36)&gt;1))</f>
        <v>0</v>
      </c>
      <c r="I9" t="b">
        <f>IF(ISERROR(AND(FIND("@",'contact persons'!C12)&gt;1)),FALSE,AND(FIND("@",'contact persons'!C12)&gt;1))</f>
        <v>0</v>
      </c>
      <c r="J9" s="531" t="b">
        <f>IF(ISERROR(AND(FIND("@",'contact persons'!C20)&gt;1)),FALSE,AND(FIND("@",'contact persons'!C20)&gt;1))</f>
        <v>0</v>
      </c>
      <c r="K9" t="b">
        <f>IF(ISERROR(AND(FIND("@",'contact persons'!C29)&gt;1)),FALSE,AND(FIND("@",'contact persons'!C29)&gt;1))</f>
        <v>0</v>
      </c>
      <c r="L9" s="531" t="b">
        <f>IF(ISERROR(AND(FIND("@",'contact persons'!C37)&gt;1)),FALSE,AND(FIND("@",'contact persons'!C37)&gt;1))</f>
        <v>0</v>
      </c>
      <c r="M9" s="499" t="b">
        <f>IF(ISERROR(AND(FIND("@",applications!K15)&gt;1)),FALSE,AND(FIND("@",applications!K15)&gt;1))</f>
        <v>0</v>
      </c>
      <c r="N9" s="547" t="b">
        <f>IF(ISERROR(AND(FIND("@",'contact persons VW Group'!$G11)&gt;1)),FALSE,AND(FIND("@",'contact persons VW Group'!$G11)&gt;1))</f>
        <v>0</v>
      </c>
      <c r="O9" s="547" t="b">
        <f>IF(ISERROR(AND(FIND("@",'contact persons VW Group'!$G12)&gt;1)),FALSE,AND(FIND("@",'contact persons VW Group'!$G12)&gt;1))</f>
        <v>0</v>
      </c>
      <c r="P9" s="547" t="b">
        <f>IF(ISERROR(AND(FIND("@",'contact persons VW Group'!$G13)&gt;1)),FALSE,AND(FIND("@",'contact persons VW Group'!$G13)&gt;1))</f>
        <v>0</v>
      </c>
      <c r="Q9" s="547" t="b">
        <f>IF(ISERROR(AND(FIND("@",'contact persons VW Group'!$G14)&gt;1)),FALSE,AND(FIND("@",'contact persons VW Group'!$G14)&gt;1))</f>
        <v>0</v>
      </c>
      <c r="R9" s="547" t="b">
        <f>IF(ISERROR(AND(FIND("@",'contact persons VW Group'!$G15)&gt;1)),FALSE,AND(FIND("@",'contact persons VW Group'!$G15)&gt;1))</f>
        <v>0</v>
      </c>
      <c r="S9" s="547" t="b">
        <f>IF(ISERROR(AND(FIND("@",'contact persons VW Group'!$G16)&gt;1)),FALSE,AND(FIND("@",'contact persons VW Group'!$G16)&gt;1))</f>
        <v>0</v>
      </c>
      <c r="T9" s="547" t="b">
        <f>IF(ISERROR(AND(FIND("@",'contact persons VW Group'!$G17)&gt;1)),FALSE,AND(FIND("@",'contact persons VW Group'!$G17)&gt;1))</f>
        <v>0</v>
      </c>
      <c r="U9" s="547" t="b">
        <f>IF(ISERROR(AND(FIND("@",'contact persons VW Group'!$G18)&gt;1)),FALSE,AND(FIND("@",'contact persons VW Group'!$G18)&gt;1))</f>
        <v>0</v>
      </c>
      <c r="V9" s="547" t="b">
        <f>IF(ISERROR(AND(FIND("@",'contact persons VW Group'!$G19)&gt;1)),FALSE,AND(FIND("@",'contact persons VW Group'!$G19)&gt;1))</f>
        <v>0</v>
      </c>
      <c r="W9" s="547" t="b">
        <f>IF(ISERROR(AND(FIND("@",'contact persons VW Group'!$G20)&gt;1)),FALSE,AND(FIND("@",'contact persons VW Group'!$G20)&gt;1))</f>
        <v>0</v>
      </c>
      <c r="X9" s="547" t="b">
        <f>IF(ISERROR(AND(FIND("@",'contact persons VW Group'!$G21)&gt;1)),FALSE,AND(FIND("@",'contact persons VW Group'!$G21)&gt;1))</f>
        <v>0</v>
      </c>
      <c r="Y9" s="547" t="b">
        <f>IF(ISERROR(AND(FIND("@",'contact persons VW Group'!$G22)&gt;1)),FALSE,AND(FIND("@",'contact persons VW Group'!$G22)&gt;1))</f>
        <v>0</v>
      </c>
      <c r="Z9" s="547" t="b">
        <f>IF(ISERROR(AND(FIND("@",'contact persons VW Group'!$G23)&gt;1)),FALSE,AND(FIND("@",'contact persons VW Group'!$G23)&gt;1))</f>
        <v>0</v>
      </c>
      <c r="AA9" s="547" t="b">
        <f>IF(ISERROR(AND(FIND("@",'contact persons VW Group'!$G24)&gt;1)),FALSE,AND(FIND("@",'contact persons VW Group'!$G24)&gt;1))</f>
        <v>0</v>
      </c>
      <c r="AB9" s="547" t="b">
        <f>IF(ISERROR(AND(FIND("@",'contact persons VW Group'!$G25)&gt;1)),FALSE,AND(FIND("@",'contact persons VW Group'!$G25)&gt;1))</f>
        <v>0</v>
      </c>
      <c r="AC9" s="547" t="b">
        <f>IF(ISERROR(AND(FIND("@",'contact persons VW Group'!$G27)&gt;1)),FALSE,AND(FIND("@",'contact persons VW Group'!$G27)&gt;1))</f>
        <v>0</v>
      </c>
      <c r="AD9" s="547" t="b">
        <f>IF(ISERROR(AND(FIND("@",'contact persons VW Group'!$G28)&gt;1)),FALSE,AND(FIND("@",'contact persons VW Group'!$G28)&gt;1))</f>
        <v>0</v>
      </c>
      <c r="AE9" s="547" t="b">
        <f>IF(ISERROR(AND(FIND("@",'contact persons VW Group'!$G34)&gt;1)),FALSE,AND(FIND("@",'contact persons VW Group'!$G34)&gt;1))</f>
        <v>0</v>
      </c>
      <c r="AF9" s="547" t="b">
        <f>IF(ISERROR(AND(FIND("@",'contact persons VW Group'!$G35)&gt;1)),FALSE,AND(FIND("@",'contact persons VW Group'!$G35)&gt;1))</f>
        <v>0</v>
      </c>
      <c r="AG9" s="547" t="b">
        <f>IF(ISERROR(AND(FIND("@",'contact persons VW Group'!$G36)&gt;1)),FALSE,AND(FIND("@",'contact persons VW Group'!$G36)&gt;1))</f>
        <v>0</v>
      </c>
      <c r="AH9" s="547" t="b">
        <f>IF(ISERROR(AND(FIND("@",'contact persons VW Group'!$G37)&gt;1)),FALSE,AND(FIND("@",'contact persons VW Group'!$G37)&gt;1))</f>
        <v>0</v>
      </c>
      <c r="AI9" s="547" t="b">
        <f>IF(ISERROR(AND(FIND("@",'contact persons VW Group'!$G38)&gt;1)),FALSE,AND(FIND("@",'contact persons VW Group'!$G38)&gt;1))</f>
        <v>0</v>
      </c>
      <c r="AJ9" s="547" t="b">
        <f>IF(ISERROR(AND(FIND("@",'contact persons VW Group'!$G39)&gt;1)),FALSE,AND(FIND("@",'contact persons VW Group'!$G39)&gt;1))</f>
        <v>0</v>
      </c>
      <c r="AK9" s="547" t="b">
        <f>IF(ISERROR(AND(FIND("@",'contact persons VW Group'!$G40)&gt;1)),FALSE,AND(FIND("@",'contact persons VW Group'!$G40)&gt;1))</f>
        <v>0</v>
      </c>
      <c r="AL9" s="547" t="b">
        <f>IF(ISERROR(AND(FIND("@",'contact persons VW Group'!$G41)&gt;1)),FALSE,AND(FIND("@",'contact persons VW Group'!$G41)&gt;1))</f>
        <v>0</v>
      </c>
      <c r="AM9" s="547" t="b">
        <f>IF(ISERROR(AND(FIND("@",'contact persons VW Group'!$G42)&gt;1)),FALSE,AND(FIND("@",'contact persons VW Group'!$G42)&gt;1))</f>
        <v>0</v>
      </c>
      <c r="AN9" s="547" t="b">
        <f>IF(ISERROR(AND(FIND("@",'contact persons VW Group'!$G43)&gt;1)),FALSE,AND(FIND("@",'contact persons VW Group'!$G43)&gt;1))</f>
        <v>0</v>
      </c>
      <c r="AO9" s="547" t="b">
        <f>IF(ISERROR(AND(FIND("@",'contact persons VW Group'!$G44)&gt;1)),FALSE,AND(FIND("@",'contact persons VW Group'!$G44)&gt;1))</f>
        <v>0</v>
      </c>
      <c r="AP9" s="547" t="b">
        <f>IF(ISERROR(AND(FIND("@",'contact persons VW Group'!$G45)&gt;1)),FALSE,AND(FIND("@",'contact persons VW Group'!$G45)&gt;1))</f>
        <v>0</v>
      </c>
      <c r="AQ9" s="547" t="b">
        <f>IF(ISERROR(AND(FIND("@",'contact persons VW Group'!$G46)&gt;1)),FALSE,AND(FIND("@",'contact persons VW Group'!$G46)&gt;1))</f>
        <v>0</v>
      </c>
      <c r="AR9" s="547" t="b">
        <f>IF(ISERROR(AND(FIND("@",'contact persons VW Group'!$G47)&gt;1)),FALSE,AND(FIND("@",'contact persons VW Group'!$G47)&gt;1))</f>
        <v>0</v>
      </c>
      <c r="AS9" s="547" t="b">
        <f>IF(ISERROR(AND(FIND("@",'contact persons VW Group'!$G48)&gt;1)),FALSE,AND(FIND("@",'contact persons VW Group'!$G48)&gt;1))</f>
        <v>0</v>
      </c>
      <c r="AT9" s="547" t="b">
        <f>IF(ISERROR(AND(FIND("@",'contact persons VW Group'!$G50)&gt;1)),FALSE,AND(FIND("@",'contact persons VW Group'!$G50)&gt;1))</f>
        <v>0</v>
      </c>
      <c r="AU9" s="547" t="b">
        <f>IF(ISERROR(AND(FIND("@",'contact persons VW Group'!$G51)&gt;1)),FALSE,AND(FIND("@",'contact persons VW Group'!$G51)&gt;1))</f>
        <v>0</v>
      </c>
    </row>
    <row r="10" spans="1:52" x14ac:dyDescent="0.25">
      <c r="D10" s="134" t="s">
        <v>449</v>
      </c>
      <c r="F10" t="s">
        <v>754</v>
      </c>
      <c r="G10" t="s">
        <v>767</v>
      </c>
      <c r="H10" s="351" t="b">
        <f>IF(ISERROR(AND(FIND("@",'company data'!B36)&lt;65)),FALSE,AND(FIND("@",'company data'!B36)&lt;65))</f>
        <v>0</v>
      </c>
      <c r="I10" s="351" t="b">
        <f>IF(ISERROR(AND(FIND("@",'contact persons'!C12)&lt;65)),FALSE,AND(FIND("@",'contact persons'!C12)&lt;65))</f>
        <v>0</v>
      </c>
      <c r="J10" s="534" t="b">
        <f>IF(ISERROR(AND(FIND("@",'contact persons'!C20)&lt;65)),FALSE,AND(FIND("@",'contact persons'!C20)&lt;65))</f>
        <v>0</v>
      </c>
      <c r="K10" s="351" t="b">
        <f>IF(ISERROR(AND(FIND("@",'contact persons'!C29)&lt;65)),FALSE,AND(FIND("@",'contact persons'!C29)&lt;65))</f>
        <v>0</v>
      </c>
      <c r="L10" s="534" t="b">
        <f>IF(ISERROR(AND(FIND("@",'contact persons'!C37)&lt;65)),FALSE,AND(FIND("@",'contact persons'!C37)&lt;65))</f>
        <v>0</v>
      </c>
      <c r="M10" s="519" t="b">
        <f>IF(ISERROR(AND(FIND("@",applications!K15)&lt;65)),FALSE,AND(FIND("@",applications!K15)&lt;65))</f>
        <v>0</v>
      </c>
      <c r="N10" s="549" t="b">
        <f>IF(ISERROR(AND(FIND("@",'contact persons VW Group'!$G11)&lt;65)),FALSE,AND(FIND("@",'contact persons VW Group'!$G11)&lt;65))</f>
        <v>0</v>
      </c>
      <c r="O10" s="549" t="b">
        <f>IF(ISERROR(AND(FIND("@",'contact persons VW Group'!$G12)&lt;65)),FALSE,AND(FIND("@",'contact persons VW Group'!$G12)&lt;65))</f>
        <v>0</v>
      </c>
      <c r="P10" s="549" t="b">
        <f>IF(ISERROR(AND(FIND("@",'contact persons VW Group'!$G13)&lt;65)),FALSE,AND(FIND("@",'contact persons VW Group'!$G13)&lt;65))</f>
        <v>0</v>
      </c>
      <c r="Q10" s="549" t="b">
        <f>IF(ISERROR(AND(FIND("@",'contact persons VW Group'!$G14)&lt;65)),FALSE,AND(FIND("@",'contact persons VW Group'!$G14)&lt;65))</f>
        <v>0</v>
      </c>
      <c r="R10" s="549" t="b">
        <f>IF(ISERROR(AND(FIND("@",'contact persons VW Group'!$G15)&lt;65)),FALSE,AND(FIND("@",'contact persons VW Group'!$G15)&lt;65))</f>
        <v>0</v>
      </c>
      <c r="S10" s="549" t="b">
        <f>IF(ISERROR(AND(FIND("@",'contact persons VW Group'!$G16)&lt;65)),FALSE,AND(FIND("@",'contact persons VW Group'!$G16)&lt;65))</f>
        <v>0</v>
      </c>
      <c r="T10" s="549" t="b">
        <f>IF(ISERROR(AND(FIND("@",'contact persons VW Group'!$G17)&lt;65)),FALSE,AND(FIND("@",'contact persons VW Group'!$G17)&lt;65))</f>
        <v>0</v>
      </c>
      <c r="U10" s="549" t="b">
        <f>IF(ISERROR(AND(FIND("@",'contact persons VW Group'!$G18)&lt;65)),FALSE,AND(FIND("@",'contact persons VW Group'!$G18)&lt;65))</f>
        <v>0</v>
      </c>
      <c r="V10" s="549" t="b">
        <f>IF(ISERROR(AND(FIND("@",'contact persons VW Group'!$G19)&lt;65)),FALSE,AND(FIND("@",'contact persons VW Group'!$G19)&lt;65))</f>
        <v>0</v>
      </c>
      <c r="W10" s="549" t="b">
        <f>IF(ISERROR(AND(FIND("@",'contact persons VW Group'!$G20)&lt;65)),FALSE,AND(FIND("@",'contact persons VW Group'!$G20)&lt;65))</f>
        <v>0</v>
      </c>
      <c r="X10" s="549" t="b">
        <f>IF(ISERROR(AND(FIND("@",'contact persons VW Group'!$G21)&lt;65)),FALSE,AND(FIND("@",'contact persons VW Group'!$G21)&lt;65))</f>
        <v>0</v>
      </c>
      <c r="Y10" s="549" t="b">
        <f>IF(ISERROR(AND(FIND("@",'contact persons VW Group'!$G22)&lt;65)),FALSE,AND(FIND("@",'contact persons VW Group'!$G22)&lt;65))</f>
        <v>0</v>
      </c>
      <c r="Z10" s="549" t="b">
        <f>IF(ISERROR(AND(FIND("@",'contact persons VW Group'!$G23)&lt;65)),FALSE,AND(FIND("@",'contact persons VW Group'!$G23)&lt;65))</f>
        <v>0</v>
      </c>
      <c r="AA10" s="549" t="b">
        <f>IF(ISERROR(AND(FIND("@",'contact persons VW Group'!$G24)&lt;65)),FALSE,AND(FIND("@",'contact persons VW Group'!$G24)&lt;65))</f>
        <v>0</v>
      </c>
      <c r="AB10" s="549" t="b">
        <f>IF(ISERROR(AND(FIND("@",'contact persons VW Group'!$G25)&lt;65)),FALSE,AND(FIND("@",'contact persons VW Group'!$G25)&lt;65))</f>
        <v>0</v>
      </c>
      <c r="AC10" s="549" t="b">
        <f>IF(ISERROR(AND(FIND("@",'contact persons VW Group'!$G27)&lt;65)),FALSE,AND(FIND("@",'contact persons VW Group'!$G27)&lt;65))</f>
        <v>0</v>
      </c>
      <c r="AD10" s="549" t="b">
        <f>IF(ISERROR(AND(FIND("@",'contact persons VW Group'!$G28)&lt;65)),FALSE,AND(FIND("@",'contact persons VW Group'!$G28)&lt;65))</f>
        <v>0</v>
      </c>
      <c r="AE10" s="549" t="b">
        <f>IF(ISERROR(AND(FIND("@",'contact persons VW Group'!$G34)&lt;65)),FALSE,AND(FIND("@",'contact persons VW Group'!$G34)&lt;65))</f>
        <v>0</v>
      </c>
      <c r="AF10" s="549" t="b">
        <f>IF(ISERROR(AND(FIND("@",'contact persons VW Group'!$G35)&lt;65)),FALSE,AND(FIND("@",'contact persons VW Group'!$G35)&lt;65))</f>
        <v>0</v>
      </c>
      <c r="AG10" s="549" t="b">
        <f>IF(ISERROR(AND(FIND("@",'contact persons VW Group'!$G36)&lt;65)),FALSE,AND(FIND("@",'contact persons VW Group'!$G36)&lt;65))</f>
        <v>0</v>
      </c>
      <c r="AH10" s="549" t="b">
        <f>IF(ISERROR(AND(FIND("@",'contact persons VW Group'!$G37)&lt;65)),FALSE,AND(FIND("@",'contact persons VW Group'!$G37)&lt;65))</f>
        <v>0</v>
      </c>
      <c r="AI10" s="549" t="b">
        <f>IF(ISERROR(AND(FIND("@",'contact persons VW Group'!$G38)&lt;65)),FALSE,AND(FIND("@",'contact persons VW Group'!$G38)&lt;65))</f>
        <v>0</v>
      </c>
      <c r="AJ10" s="549" t="b">
        <f>IF(ISERROR(AND(FIND("@",'contact persons VW Group'!$G39)&lt;65)),FALSE,AND(FIND("@",'contact persons VW Group'!$G39)&lt;65))</f>
        <v>0</v>
      </c>
      <c r="AK10" s="549" t="b">
        <f>IF(ISERROR(AND(FIND("@",'contact persons VW Group'!$G40)&lt;65)),FALSE,AND(FIND("@",'contact persons VW Group'!$G40)&lt;65))</f>
        <v>0</v>
      </c>
      <c r="AL10" s="549" t="b">
        <f>IF(ISERROR(AND(FIND("@",'contact persons VW Group'!$G41)&lt;65)),FALSE,AND(FIND("@",'contact persons VW Group'!$G41)&lt;65))</f>
        <v>0</v>
      </c>
      <c r="AM10" s="549" t="b">
        <f>IF(ISERROR(AND(FIND("@",'contact persons VW Group'!$G42)&lt;65)),FALSE,AND(FIND("@",'contact persons VW Group'!$G42)&lt;65))</f>
        <v>0</v>
      </c>
      <c r="AN10" s="549" t="b">
        <f>IF(ISERROR(AND(FIND("@",'contact persons VW Group'!$G43)&lt;65)),FALSE,AND(FIND("@",'contact persons VW Group'!$G43)&lt;65))</f>
        <v>0</v>
      </c>
      <c r="AO10" s="549" t="b">
        <f>IF(ISERROR(AND(FIND("@",'contact persons VW Group'!$G44)&lt;65)),FALSE,AND(FIND("@",'contact persons VW Group'!$G44)&lt;65))</f>
        <v>0</v>
      </c>
      <c r="AP10" s="549" t="b">
        <f>IF(ISERROR(AND(FIND("@",'contact persons VW Group'!$G45)&lt;65)),FALSE,AND(FIND("@",'contact persons VW Group'!$G45)&lt;65))</f>
        <v>0</v>
      </c>
      <c r="AQ10" s="549" t="b">
        <f>IF(ISERROR(AND(FIND("@",'contact persons VW Group'!$G46)&lt;65)),FALSE,AND(FIND("@",'contact persons VW Group'!$G46)&lt;65))</f>
        <v>0</v>
      </c>
      <c r="AR10" s="549" t="b">
        <f>IF(ISERROR(AND(FIND("@",'contact persons VW Group'!$G47)&lt;65)),FALSE,AND(FIND("@",'contact persons VW Group'!$G47)&lt;65))</f>
        <v>0</v>
      </c>
      <c r="AS10" s="549" t="b">
        <f>IF(ISERROR(AND(FIND("@",'contact persons VW Group'!$G48)&lt;65)),FALSE,AND(FIND("@",'contact persons VW Group'!$G48)&lt;65))</f>
        <v>0</v>
      </c>
      <c r="AT10" s="549" t="b">
        <f>IF(ISERROR(AND(FIND("@",'contact persons VW Group'!$G50)&lt;65)),FALSE,AND(FIND("@",'contact persons VW Group'!$G50)&lt;65))</f>
        <v>0</v>
      </c>
      <c r="AU10" s="549" t="b">
        <f>IF(ISERROR(AND(FIND("@",'contact persons VW Group'!$G51)&lt;65)),FALSE,AND(FIND("@",'contact persons VW Group'!$G51)&lt;65))</f>
        <v>0</v>
      </c>
    </row>
    <row r="11" spans="1:52" x14ac:dyDescent="0.25">
      <c r="D11" s="134" t="s">
        <v>1005</v>
      </c>
      <c r="F11" t="s">
        <v>755</v>
      </c>
      <c r="G11" t="s">
        <v>768</v>
      </c>
      <c r="H11" s="351" t="b">
        <f>IF(ISERROR(LEN('company data'!B36)-FIND(CHAR(8),SUBSTITUTE('company data'!B36,".",CHAR(8),LEN('company data'!B36)-LEN(SUBSTITUTE('company data'!B36,".",""))))&gt;=2),FALSE,LEN('company data'!B36)-FIND(CHAR(8),SUBSTITUTE('company data'!B36,".",CHAR(8),LEN('company data'!B36)-LEN(SUBSTITUTE('company data'!B36,".",""))))&gt;=2)</f>
        <v>0</v>
      </c>
      <c r="I11" s="351" t="b">
        <f>IF(ISERROR(LEN('contact persons'!C12)-FIND(CHAR(8),SUBSTITUTE('contact persons'!C12,".",CHAR(8),LEN('contact persons'!C12)-LEN(SUBSTITUTE('contact persons'!C12,".",""))))&gt;=2),FALSE,LEN('contact persons'!C12)-FIND(CHAR(8),SUBSTITUTE('contact persons'!C12,".",CHAR(8),LEN('contact persons'!C12)-LEN(SUBSTITUTE('contact persons'!C12,".",""))))&gt;=2)</f>
        <v>0</v>
      </c>
      <c r="J11" s="534" t="b">
        <f>IF(ISERROR(LEN('contact persons'!C20)-FIND(CHAR(8),SUBSTITUTE('contact persons'!C20,".",CHAR(8),LEN('contact persons'!C20)-LEN(SUBSTITUTE('contact persons'!C20,".",""))))&gt;=2),FALSE,LEN('contact persons'!C20)-FIND(CHAR(8),SUBSTITUTE('contact persons'!C20,".",CHAR(8),LEN('contact persons'!C20)-LEN(SUBSTITUTE('contact persons'!C20,".",""))))&gt;=2)</f>
        <v>0</v>
      </c>
      <c r="K11" s="351" t="b">
        <f>IF(ISERROR(LEN('contact persons'!C29)-FIND(CHAR(8),SUBSTITUTE('contact persons'!C29,".",CHAR(8),LEN('contact persons'!C29)-LEN(SUBSTITUTE('contact persons'!C29,".",""))))&gt;=2),FALSE,LEN('contact persons'!C29)-FIND(CHAR(8),SUBSTITUTE('contact persons'!C29,".",CHAR(8),LEN('contact persons'!C29)-LEN(SUBSTITUTE('contact persons'!C29,".",""))))&gt;=2)</f>
        <v>0</v>
      </c>
      <c r="L11" s="534" t="b">
        <f>IF(ISERROR(LEN('contact persons'!C37)-FIND(CHAR(8),SUBSTITUTE('contact persons'!C37,".",CHAR(8),LEN('contact persons'!C37)-LEN(SUBSTITUTE('contact persons'!C37,".",""))))&gt;=2),FALSE,LEN('contact persons'!C37)-FIND(CHAR(8),SUBSTITUTE('contact persons'!C37,".",CHAR(8),LEN('contact persons'!C37)-LEN(SUBSTITUTE('contact persons'!C37,".",""))))&gt;=2)</f>
        <v>0</v>
      </c>
      <c r="M11" s="519" t="b">
        <f>IF(ISERROR(LEN(applications!K15)-FIND(CHAR(8),SUBSTITUTE(applications!K15,".",CHAR(8),LEN(applications!K15)-LEN(SUBSTITUTE(applications!K15,".",""))))&gt;=2),FALSE,LEN(applications!K15)-FIND(CHAR(8),SUBSTITUTE(applications!K15,".",CHAR(8),LEN(applications!K15)-LEN(SUBSTITUTE(applications!K15,".",""))))&gt;=2)</f>
        <v>0</v>
      </c>
      <c r="N11" s="549" t="b">
        <f>IF(ISERROR(LEN('contact persons VW Group'!$G11)-FIND(CHAR(8),SUBSTITUTE('contact persons VW Group'!$G11,".",CHAR(8),LEN('contact persons VW Group'!$G11)-LEN(SUBSTITUTE('contact persons VW Group'!$G11,".",""))))&gt;=2),FALSE,LEN('contact persons VW Group'!$G11)-FIND(CHAR(8),SUBSTITUTE('contact persons VW Group'!$G11,".",CHAR(8),LEN('contact persons VW Group'!$G11)-LEN(SUBSTITUTE('contact persons VW Group'!$G11,".",""))))&gt;=2)</f>
        <v>0</v>
      </c>
      <c r="O11" s="549" t="b">
        <f>IF(ISERROR(LEN('contact persons VW Group'!$G12)-FIND(CHAR(8),SUBSTITUTE('contact persons VW Group'!$G12,".",CHAR(8),LEN('contact persons VW Group'!$G12)-LEN(SUBSTITUTE('contact persons VW Group'!$G12,".",""))))&gt;=2),FALSE,LEN('contact persons VW Group'!$G12)-FIND(CHAR(8),SUBSTITUTE('contact persons VW Group'!$G12,".",CHAR(8),LEN('contact persons VW Group'!$G12)-LEN(SUBSTITUTE('contact persons VW Group'!$G12,".",""))))&gt;=2)</f>
        <v>0</v>
      </c>
      <c r="P11" s="549" t="b">
        <f>IF(ISERROR(LEN('contact persons VW Group'!$G13)-FIND(CHAR(8),SUBSTITUTE('contact persons VW Group'!$G13,".",CHAR(8),LEN('contact persons VW Group'!$G13)-LEN(SUBSTITUTE('contact persons VW Group'!$G13,".",""))))&gt;=2),FALSE,LEN('contact persons VW Group'!$G13)-FIND(CHAR(8),SUBSTITUTE('contact persons VW Group'!$G13,".",CHAR(8),LEN('contact persons VW Group'!$G13)-LEN(SUBSTITUTE('contact persons VW Group'!$G13,".",""))))&gt;=2)</f>
        <v>0</v>
      </c>
      <c r="Q11" s="549" t="b">
        <f>IF(ISERROR(LEN('contact persons VW Group'!$G14)-FIND(CHAR(8),SUBSTITUTE('contact persons VW Group'!$G14,".",CHAR(8),LEN('contact persons VW Group'!$G14)-LEN(SUBSTITUTE('contact persons VW Group'!$G14,".",""))))&gt;=2),FALSE,LEN('contact persons VW Group'!$G14)-FIND(CHAR(8),SUBSTITUTE('contact persons VW Group'!$G14,".",CHAR(8),LEN('contact persons VW Group'!$G14)-LEN(SUBSTITUTE('contact persons VW Group'!$G14,".",""))))&gt;=2)</f>
        <v>0</v>
      </c>
      <c r="R11" s="549" t="b">
        <f>IF(ISERROR(LEN('contact persons VW Group'!$G15)-FIND(CHAR(8),SUBSTITUTE('contact persons VW Group'!$G15,".",CHAR(8),LEN('contact persons VW Group'!$G15)-LEN(SUBSTITUTE('contact persons VW Group'!$G15,".",""))))&gt;=2),FALSE,LEN('contact persons VW Group'!$G15)-FIND(CHAR(8),SUBSTITUTE('contact persons VW Group'!$G15,".",CHAR(8),LEN('contact persons VW Group'!$G15)-LEN(SUBSTITUTE('contact persons VW Group'!$G15,".",""))))&gt;=2)</f>
        <v>0</v>
      </c>
      <c r="S11" s="549" t="b">
        <f>IF(ISERROR(LEN('contact persons VW Group'!$G16)-FIND(CHAR(8),SUBSTITUTE('contact persons VW Group'!$G16,".",CHAR(8),LEN('contact persons VW Group'!$G16)-LEN(SUBSTITUTE('contact persons VW Group'!$G16,".",""))))&gt;=2),FALSE,LEN('contact persons VW Group'!$G16)-FIND(CHAR(8),SUBSTITUTE('contact persons VW Group'!$G16,".",CHAR(8),LEN('contact persons VW Group'!$G16)-LEN(SUBSTITUTE('contact persons VW Group'!$G16,".",""))))&gt;=2)</f>
        <v>0</v>
      </c>
      <c r="T11" s="549" t="b">
        <f>IF(ISERROR(LEN('contact persons VW Group'!$G17)-FIND(CHAR(8),SUBSTITUTE('contact persons VW Group'!$G17,".",CHAR(8),LEN('contact persons VW Group'!$G17)-LEN(SUBSTITUTE('contact persons VW Group'!$G17,".",""))))&gt;=2),FALSE,LEN('contact persons VW Group'!$G17)-FIND(CHAR(8),SUBSTITUTE('contact persons VW Group'!$G17,".",CHAR(8),LEN('contact persons VW Group'!$G17)-LEN(SUBSTITUTE('contact persons VW Group'!$G17,".",""))))&gt;=2)</f>
        <v>0</v>
      </c>
      <c r="U11" s="549" t="b">
        <f>IF(ISERROR(LEN('contact persons VW Group'!$G18)-FIND(CHAR(8),SUBSTITUTE('contact persons VW Group'!$G18,".",CHAR(8),LEN('contact persons VW Group'!$G18)-LEN(SUBSTITUTE('contact persons VW Group'!$G18,".",""))))&gt;=2),FALSE,LEN('contact persons VW Group'!$G18)-FIND(CHAR(8),SUBSTITUTE('contact persons VW Group'!$G18,".",CHAR(8),LEN('contact persons VW Group'!$G18)-LEN(SUBSTITUTE('contact persons VW Group'!$G18,".",""))))&gt;=2)</f>
        <v>0</v>
      </c>
      <c r="V11" s="549" t="b">
        <f>IF(ISERROR(LEN('contact persons VW Group'!$G19)-FIND(CHAR(8),SUBSTITUTE('contact persons VW Group'!$G19,".",CHAR(8),LEN('contact persons VW Group'!$G19)-LEN(SUBSTITUTE('contact persons VW Group'!$G19,".",""))))&gt;=2),FALSE,LEN('contact persons VW Group'!$G19)-FIND(CHAR(8),SUBSTITUTE('contact persons VW Group'!$G19,".",CHAR(8),LEN('contact persons VW Group'!$G19)-LEN(SUBSTITUTE('contact persons VW Group'!$G19,".",""))))&gt;=2)</f>
        <v>0</v>
      </c>
      <c r="W11" s="549" t="b">
        <f>IF(ISERROR(LEN('contact persons VW Group'!$G20)-FIND(CHAR(8),SUBSTITUTE('contact persons VW Group'!$G20,".",CHAR(8),LEN('contact persons VW Group'!$G20)-LEN(SUBSTITUTE('contact persons VW Group'!$G20,".",""))))&gt;=2),FALSE,LEN('contact persons VW Group'!$G20)-FIND(CHAR(8),SUBSTITUTE('contact persons VW Group'!$G20,".",CHAR(8),LEN('contact persons VW Group'!$G20)-LEN(SUBSTITUTE('contact persons VW Group'!$G20,".",""))))&gt;=2)</f>
        <v>0</v>
      </c>
      <c r="X11" s="549" t="b">
        <f>IF(ISERROR(LEN('contact persons VW Group'!$G21)-FIND(CHAR(8),SUBSTITUTE('contact persons VW Group'!$G21,".",CHAR(8),LEN('contact persons VW Group'!$G21)-LEN(SUBSTITUTE('contact persons VW Group'!$G21,".",""))))&gt;=2),FALSE,LEN('contact persons VW Group'!$G21)-FIND(CHAR(8),SUBSTITUTE('contact persons VW Group'!$G21,".",CHAR(8),LEN('contact persons VW Group'!$G21)-LEN(SUBSTITUTE('contact persons VW Group'!$G21,".",""))))&gt;=2)</f>
        <v>0</v>
      </c>
      <c r="Y11" s="549" t="b">
        <f>IF(ISERROR(LEN('contact persons VW Group'!$G22)-FIND(CHAR(8),SUBSTITUTE('contact persons VW Group'!$G22,".",CHAR(8),LEN('contact persons VW Group'!$G22)-LEN(SUBSTITUTE('contact persons VW Group'!$G22,".",""))))&gt;=2),FALSE,LEN('contact persons VW Group'!$G22)-FIND(CHAR(8),SUBSTITUTE('contact persons VW Group'!$G22,".",CHAR(8),LEN('contact persons VW Group'!$G22)-LEN(SUBSTITUTE('contact persons VW Group'!$G22,".",""))))&gt;=2)</f>
        <v>0</v>
      </c>
      <c r="Z11" s="549" t="b">
        <f>IF(ISERROR(LEN('contact persons VW Group'!$G23)-FIND(CHAR(8),SUBSTITUTE('contact persons VW Group'!$G23,".",CHAR(8),LEN('contact persons VW Group'!$G23)-LEN(SUBSTITUTE('contact persons VW Group'!$G23,".",""))))&gt;=2),FALSE,LEN('contact persons VW Group'!$G23)-FIND(CHAR(8),SUBSTITUTE('contact persons VW Group'!$G23,".",CHAR(8),LEN('contact persons VW Group'!$G23)-LEN(SUBSTITUTE('contact persons VW Group'!$G23,".",""))))&gt;=2)</f>
        <v>0</v>
      </c>
      <c r="AA11" s="549" t="b">
        <f>IF(ISERROR(LEN('contact persons VW Group'!$G24)-FIND(CHAR(8),SUBSTITUTE('contact persons VW Group'!$G24,".",CHAR(8),LEN('contact persons VW Group'!$G24)-LEN(SUBSTITUTE('contact persons VW Group'!$G24,".",""))))&gt;=2),FALSE,LEN('contact persons VW Group'!$G24)-FIND(CHAR(8),SUBSTITUTE('contact persons VW Group'!$G24,".",CHAR(8),LEN('contact persons VW Group'!$G24)-LEN(SUBSTITUTE('contact persons VW Group'!$G24,".",""))))&gt;=2)</f>
        <v>0</v>
      </c>
      <c r="AB11" s="549" t="b">
        <f>IF(ISERROR(LEN('contact persons VW Group'!$G25)-FIND(CHAR(8),SUBSTITUTE('contact persons VW Group'!$G25,".",CHAR(8),LEN('contact persons VW Group'!$G25)-LEN(SUBSTITUTE('contact persons VW Group'!$G25,".",""))))&gt;=2),FALSE,LEN('contact persons VW Group'!$G25)-FIND(CHAR(8),SUBSTITUTE('contact persons VW Group'!$G25,".",CHAR(8),LEN('contact persons VW Group'!$G25)-LEN(SUBSTITUTE('contact persons VW Group'!$G25,".",""))))&gt;=2)</f>
        <v>0</v>
      </c>
      <c r="AC11" s="549" t="b">
        <f>IF(ISERROR(LEN('contact persons VW Group'!$G27)-FIND(CHAR(8),SUBSTITUTE('contact persons VW Group'!$G27,".",CHAR(8),LEN('contact persons VW Group'!$G27)-LEN(SUBSTITUTE('contact persons VW Group'!$G27,".",""))))&gt;=2),FALSE,LEN('contact persons VW Group'!$G27)-FIND(CHAR(8),SUBSTITUTE('contact persons VW Group'!$G27,".",CHAR(8),LEN('contact persons VW Group'!$G27)-LEN(SUBSTITUTE('contact persons VW Group'!$G27,".",""))))&gt;=2)</f>
        <v>0</v>
      </c>
      <c r="AD11" s="549" t="b">
        <f>IF(ISERROR(LEN('contact persons VW Group'!$G28)-FIND(CHAR(8),SUBSTITUTE('contact persons VW Group'!$G28,".",CHAR(8),LEN('contact persons VW Group'!$G28)-LEN(SUBSTITUTE('contact persons VW Group'!$G28,".",""))))&gt;=2),FALSE,LEN('contact persons VW Group'!$G28)-FIND(CHAR(8),SUBSTITUTE('contact persons VW Group'!$G28,".",CHAR(8),LEN('contact persons VW Group'!$G28)-LEN(SUBSTITUTE('contact persons VW Group'!$G28,".",""))))&gt;=2)</f>
        <v>0</v>
      </c>
      <c r="AE11" s="549" t="b">
        <f>IF(ISERROR(LEN('contact persons VW Group'!$G34)-FIND(CHAR(8),SUBSTITUTE('contact persons VW Group'!$G34,".",CHAR(8),LEN('contact persons VW Group'!$G34)-LEN(SUBSTITUTE('contact persons VW Group'!$G34,".",""))))&gt;=2),FALSE,LEN('contact persons VW Group'!$G34)-FIND(CHAR(8),SUBSTITUTE('contact persons VW Group'!$G34,".",CHAR(8),LEN('contact persons VW Group'!$G34)-LEN(SUBSTITUTE('contact persons VW Group'!$G34,".",""))))&gt;=2)</f>
        <v>0</v>
      </c>
      <c r="AF11" s="549" t="b">
        <f>IF(ISERROR(LEN('contact persons VW Group'!$G35)-FIND(CHAR(8),SUBSTITUTE('contact persons VW Group'!$G35,".",CHAR(8),LEN('contact persons VW Group'!$G35)-LEN(SUBSTITUTE('contact persons VW Group'!$G35,".",""))))&gt;=2),FALSE,LEN('contact persons VW Group'!$G35)-FIND(CHAR(8),SUBSTITUTE('contact persons VW Group'!$G35,".",CHAR(8),LEN('contact persons VW Group'!$G35)-LEN(SUBSTITUTE('contact persons VW Group'!$G35,".",""))))&gt;=2)</f>
        <v>0</v>
      </c>
      <c r="AG11" s="549" t="b">
        <f>IF(ISERROR(LEN('contact persons VW Group'!$G36)-FIND(CHAR(8),SUBSTITUTE('contact persons VW Group'!$G36,".",CHAR(8),LEN('contact persons VW Group'!$G36)-LEN(SUBSTITUTE('contact persons VW Group'!$G36,".",""))))&gt;=2),FALSE,LEN('contact persons VW Group'!$G36)-FIND(CHAR(8),SUBSTITUTE('contact persons VW Group'!$G36,".",CHAR(8),LEN('contact persons VW Group'!$G36)-LEN(SUBSTITUTE('contact persons VW Group'!$G36,".",""))))&gt;=2)</f>
        <v>0</v>
      </c>
      <c r="AH11" s="549" t="b">
        <f>IF(ISERROR(LEN('contact persons VW Group'!$G37)-FIND(CHAR(8),SUBSTITUTE('contact persons VW Group'!$G37,".",CHAR(8),LEN('contact persons VW Group'!$G37)-LEN(SUBSTITUTE('contact persons VW Group'!$G37,".",""))))&gt;=2),FALSE,LEN('contact persons VW Group'!$G37)-FIND(CHAR(8),SUBSTITUTE('contact persons VW Group'!$G37,".",CHAR(8),LEN('contact persons VW Group'!$G37)-LEN(SUBSTITUTE('contact persons VW Group'!$G37,".",""))))&gt;=2)</f>
        <v>0</v>
      </c>
      <c r="AI11" s="549" t="b">
        <f>IF(ISERROR(LEN('contact persons VW Group'!$G38)-FIND(CHAR(8),SUBSTITUTE('contact persons VW Group'!$G38,".",CHAR(8),LEN('contact persons VW Group'!$G38)-LEN(SUBSTITUTE('contact persons VW Group'!$G38,".",""))))&gt;=2),FALSE,LEN('contact persons VW Group'!$G38)-FIND(CHAR(8),SUBSTITUTE('contact persons VW Group'!$G38,".",CHAR(8),LEN('contact persons VW Group'!$G38)-LEN(SUBSTITUTE('contact persons VW Group'!$G38,".",""))))&gt;=2)</f>
        <v>0</v>
      </c>
      <c r="AJ11" s="549" t="b">
        <f>IF(ISERROR(LEN('contact persons VW Group'!$G39)-FIND(CHAR(8),SUBSTITUTE('contact persons VW Group'!$G39,".",CHAR(8),LEN('contact persons VW Group'!$G39)-LEN(SUBSTITUTE('contact persons VW Group'!$G39,".",""))))&gt;=2),FALSE,LEN('contact persons VW Group'!$G39)-FIND(CHAR(8),SUBSTITUTE('contact persons VW Group'!$G39,".",CHAR(8),LEN('contact persons VW Group'!$G39)-LEN(SUBSTITUTE('contact persons VW Group'!$G39,".",""))))&gt;=2)</f>
        <v>0</v>
      </c>
      <c r="AK11" s="549" t="b">
        <f>IF(ISERROR(LEN('contact persons VW Group'!$G40)-FIND(CHAR(8),SUBSTITUTE('contact persons VW Group'!$G40,".",CHAR(8),LEN('contact persons VW Group'!$G40)-LEN(SUBSTITUTE('contact persons VW Group'!$G40,".",""))))&gt;=2),FALSE,LEN('contact persons VW Group'!$G40)-FIND(CHAR(8),SUBSTITUTE('contact persons VW Group'!$G40,".",CHAR(8),LEN('contact persons VW Group'!$G40)-LEN(SUBSTITUTE('contact persons VW Group'!$G40,".",""))))&gt;=2)</f>
        <v>0</v>
      </c>
      <c r="AL11" s="549" t="b">
        <f>IF(ISERROR(LEN('contact persons VW Group'!$G41)-FIND(CHAR(8),SUBSTITUTE('contact persons VW Group'!$G41,".",CHAR(8),LEN('contact persons VW Group'!$G41)-LEN(SUBSTITUTE('contact persons VW Group'!$G41,".",""))))&gt;=2),FALSE,LEN('contact persons VW Group'!$G41)-FIND(CHAR(8),SUBSTITUTE('contact persons VW Group'!$G41,".",CHAR(8),LEN('contact persons VW Group'!$G41)-LEN(SUBSTITUTE('contact persons VW Group'!$G41,".",""))))&gt;=2)</f>
        <v>0</v>
      </c>
      <c r="AM11" s="549" t="b">
        <f>IF(ISERROR(LEN('contact persons VW Group'!$G42)-FIND(CHAR(8),SUBSTITUTE('contact persons VW Group'!$G42,".",CHAR(8),LEN('contact persons VW Group'!$G42)-LEN(SUBSTITUTE('contact persons VW Group'!$G42,".",""))))&gt;=2),FALSE,LEN('contact persons VW Group'!$G42)-FIND(CHAR(8),SUBSTITUTE('contact persons VW Group'!$G42,".",CHAR(8),LEN('contact persons VW Group'!$G42)-LEN(SUBSTITUTE('contact persons VW Group'!$G42,".",""))))&gt;=2)</f>
        <v>0</v>
      </c>
      <c r="AN11" s="549" t="b">
        <f>IF(ISERROR(LEN('contact persons VW Group'!$G43)-FIND(CHAR(8),SUBSTITUTE('contact persons VW Group'!$G43,".",CHAR(8),LEN('contact persons VW Group'!$G43)-LEN(SUBSTITUTE('contact persons VW Group'!$G43,".",""))))&gt;=2),FALSE,LEN('contact persons VW Group'!$G43)-FIND(CHAR(8),SUBSTITUTE('contact persons VW Group'!$G43,".",CHAR(8),LEN('contact persons VW Group'!$G43)-LEN(SUBSTITUTE('contact persons VW Group'!$G43,".",""))))&gt;=2)</f>
        <v>0</v>
      </c>
      <c r="AO11" s="549" t="b">
        <f>IF(ISERROR(LEN('contact persons VW Group'!$G44)-FIND(CHAR(8),SUBSTITUTE('contact persons VW Group'!$G44,".",CHAR(8),LEN('contact persons VW Group'!$G44)-LEN(SUBSTITUTE('contact persons VW Group'!$G44,".",""))))&gt;=2),FALSE,LEN('contact persons VW Group'!$G44)-FIND(CHAR(8),SUBSTITUTE('contact persons VW Group'!$G44,".",CHAR(8),LEN('contact persons VW Group'!$G44)-LEN(SUBSTITUTE('contact persons VW Group'!$G44,".",""))))&gt;=2)</f>
        <v>0</v>
      </c>
      <c r="AP11" s="549" t="b">
        <f>IF(ISERROR(LEN('contact persons VW Group'!$G45)-FIND(CHAR(8),SUBSTITUTE('contact persons VW Group'!$G45,".",CHAR(8),LEN('contact persons VW Group'!$G45)-LEN(SUBSTITUTE('contact persons VW Group'!$G45,".",""))))&gt;=2),FALSE,LEN('contact persons VW Group'!$G45)-FIND(CHAR(8),SUBSTITUTE('contact persons VW Group'!$G45,".",CHAR(8),LEN('contact persons VW Group'!$G45)-LEN(SUBSTITUTE('contact persons VW Group'!$G45,".",""))))&gt;=2)</f>
        <v>0</v>
      </c>
      <c r="AQ11" s="549" t="b">
        <f>IF(ISERROR(LEN('contact persons VW Group'!$G46)-FIND(CHAR(8),SUBSTITUTE('contact persons VW Group'!$G46,".",CHAR(8),LEN('contact persons VW Group'!$G46)-LEN(SUBSTITUTE('contact persons VW Group'!$G46,".",""))))&gt;=2),FALSE,LEN('contact persons VW Group'!$G46)-FIND(CHAR(8),SUBSTITUTE('contact persons VW Group'!$G46,".",CHAR(8),LEN('contact persons VW Group'!$G46)-LEN(SUBSTITUTE('contact persons VW Group'!$G46,".",""))))&gt;=2)</f>
        <v>0</v>
      </c>
      <c r="AR11" s="549" t="b">
        <f>IF(ISERROR(LEN('contact persons VW Group'!$G47)-FIND(CHAR(8),SUBSTITUTE('contact persons VW Group'!$G47,".",CHAR(8),LEN('contact persons VW Group'!$G47)-LEN(SUBSTITUTE('contact persons VW Group'!$G47,".",""))))&gt;=2),FALSE,LEN('contact persons VW Group'!$G47)-FIND(CHAR(8),SUBSTITUTE('contact persons VW Group'!$G47,".",CHAR(8),LEN('contact persons VW Group'!$G47)-LEN(SUBSTITUTE('contact persons VW Group'!$G47,".",""))))&gt;=2)</f>
        <v>0</v>
      </c>
      <c r="AS11" s="549" t="b">
        <f>IF(ISERROR(LEN('contact persons VW Group'!$G48)-FIND(CHAR(8),SUBSTITUTE('contact persons VW Group'!$G48,".",CHAR(8),LEN('contact persons VW Group'!$G48)-LEN(SUBSTITUTE('contact persons VW Group'!$G48,".",""))))&gt;=2),FALSE,LEN('contact persons VW Group'!$G48)-FIND(CHAR(8),SUBSTITUTE('contact persons VW Group'!$G48,".",CHAR(8),LEN('contact persons VW Group'!$G48)-LEN(SUBSTITUTE('contact persons VW Group'!$G48,".",""))))&gt;=2)</f>
        <v>0</v>
      </c>
      <c r="AT11" s="549" t="b">
        <f>IF(ISERROR(LEN('contact persons VW Group'!$G50)-FIND(CHAR(8),SUBSTITUTE('contact persons VW Group'!$G50,".",CHAR(8),LEN('contact persons VW Group'!$G50)-LEN(SUBSTITUTE('contact persons VW Group'!$G50,".",""))))&gt;=2),FALSE,LEN('contact persons VW Group'!$G50)-FIND(CHAR(8),SUBSTITUTE('contact persons VW Group'!$G50,".",CHAR(8),LEN('contact persons VW Group'!$G50)-LEN(SUBSTITUTE('contact persons VW Group'!$G50,".",""))))&gt;=2)</f>
        <v>0</v>
      </c>
      <c r="AU11" s="549" t="b">
        <f>IF(ISERROR(LEN('contact persons VW Group'!$G51)-FIND(CHAR(8),SUBSTITUTE('contact persons VW Group'!$G51,".",CHAR(8),LEN('contact persons VW Group'!$G51)-LEN(SUBSTITUTE('contact persons VW Group'!$G51,".",""))))&gt;=2),FALSE,LEN('contact persons VW Group'!$G51)-FIND(CHAR(8),SUBSTITUTE('contact persons VW Group'!$G51,".",CHAR(8),LEN('contact persons VW Group'!$G51)-LEN(SUBSTITUTE('contact persons VW Group'!$G51,".",""))))&gt;=2)</f>
        <v>0</v>
      </c>
    </row>
    <row r="12" spans="1:52" x14ac:dyDescent="0.25">
      <c r="D12" s="134" t="s">
        <v>235</v>
      </c>
      <c r="F12" t="s">
        <v>756</v>
      </c>
      <c r="G12" t="s">
        <v>769</v>
      </c>
      <c r="H12" s="351" t="b">
        <f>IF(ISNUMBER(SUMPRODUCT(FIND(MID('company data'!B36,ROW(1:254),1),G15,1))),TRUE,FALSE)</f>
        <v>1</v>
      </c>
      <c r="I12" t="b">
        <f>IF(ISNUMBER(SUMPRODUCT(FIND(MID('contact persons'!C12,ROW(1:254),1),G15,1))),TRUE,FALSE)</f>
        <v>1</v>
      </c>
      <c r="J12" s="531" t="b">
        <f>IF(ISNUMBER(SUMPRODUCT(FIND(MID('contact persons'!C20,ROW(1:254),1),G15,1))),TRUE,FALSE)</f>
        <v>1</v>
      </c>
      <c r="K12" t="b">
        <f>IF(ISNUMBER(SUMPRODUCT(FIND(MID('contact persons'!C29,ROW(1:254),1),G15,1))),TRUE,FALSE)</f>
        <v>1</v>
      </c>
      <c r="L12" s="531" t="b">
        <f>IF(ISNUMBER(SUMPRODUCT(FIND(MID('contact persons'!C37,ROW(1:254),1),G15,1))),TRUE,FALSE)</f>
        <v>1</v>
      </c>
      <c r="M12" s="499" t="b">
        <f>IF(ISNUMBER(SUMPRODUCT(FIND(MID(applications!K15,ROW(1:254),1),G15,1))),TRUE,FALSE)</f>
        <v>1</v>
      </c>
      <c r="N12" s="547" t="b">
        <f>IF(ISNUMBER(SUMPRODUCT(FIND(MID('contact persons VW Group'!$G11,ROW(1:254),1),$G$15,1))),TRUE,FALSE)</f>
        <v>1</v>
      </c>
      <c r="O12" s="547" t="b">
        <f>IF(ISNUMBER(SUMPRODUCT(FIND(MID('contact persons VW Group'!$G12,ROW(1:254),1),$G$15,1))),TRUE,FALSE)</f>
        <v>1</v>
      </c>
      <c r="P12" s="547" t="b">
        <f>IF(ISNUMBER(SUMPRODUCT(FIND(MID('contact persons VW Group'!$G13,ROW(1:254),1),$G$15,1))),TRUE,FALSE)</f>
        <v>1</v>
      </c>
      <c r="Q12" s="547" t="b">
        <f>IF(ISNUMBER(SUMPRODUCT(FIND(MID('contact persons VW Group'!$G14,ROW(1:254),1),$G$15,1))),TRUE,FALSE)</f>
        <v>1</v>
      </c>
      <c r="R12" s="547" t="b">
        <f>IF(ISNUMBER(SUMPRODUCT(FIND(MID('contact persons VW Group'!$G15,ROW(1:254),1),$G$15,1))),TRUE,FALSE)</f>
        <v>1</v>
      </c>
      <c r="S12" s="547" t="b">
        <f>IF(ISNUMBER(SUMPRODUCT(FIND(MID('contact persons VW Group'!$G16,ROW(1:254),1),$G$15,1))),TRUE,FALSE)</f>
        <v>1</v>
      </c>
      <c r="T12" s="547" t="b">
        <f>IF(ISNUMBER(SUMPRODUCT(FIND(MID('contact persons VW Group'!$G17,ROW(1:254),1),$G$15,1))),TRUE,FALSE)</f>
        <v>1</v>
      </c>
      <c r="U12" s="547" t="b">
        <f>IF(ISNUMBER(SUMPRODUCT(FIND(MID('contact persons VW Group'!$G18,ROW(1:254),1),$G$15,1))),TRUE,FALSE)</f>
        <v>1</v>
      </c>
      <c r="V12" s="547" t="b">
        <f>IF(ISNUMBER(SUMPRODUCT(FIND(MID('contact persons VW Group'!$G19,ROW(1:254),1),$G$15,1))),TRUE,FALSE)</f>
        <v>1</v>
      </c>
      <c r="W12" s="547" t="b">
        <f>IF(ISNUMBER(SUMPRODUCT(FIND(MID('contact persons VW Group'!$G20,ROW(1:254),1),$G$15,1))),TRUE,FALSE)</f>
        <v>1</v>
      </c>
      <c r="X12" s="547" t="b">
        <f>IF(ISNUMBER(SUMPRODUCT(FIND(MID('contact persons VW Group'!$G21,ROW(1:254),1),$G$15,1))),TRUE,FALSE)</f>
        <v>1</v>
      </c>
      <c r="Y12" s="547" t="b">
        <f>IF(ISNUMBER(SUMPRODUCT(FIND(MID('contact persons VW Group'!$G22,ROW(1:254),1),$G$15,1))),TRUE,FALSE)</f>
        <v>1</v>
      </c>
      <c r="Z12" s="547" t="b">
        <f>IF(ISNUMBER(SUMPRODUCT(FIND(MID('contact persons VW Group'!$G23,ROW(1:254),1),$G$15,1))),TRUE,FALSE)</f>
        <v>1</v>
      </c>
      <c r="AA12" s="547" t="b">
        <f>IF(ISNUMBER(SUMPRODUCT(FIND(MID('contact persons VW Group'!$G24,ROW(1:254),1),$G$15,1))),TRUE,FALSE)</f>
        <v>1</v>
      </c>
      <c r="AB12" s="547" t="b">
        <f>IF(ISNUMBER(SUMPRODUCT(FIND(MID('contact persons VW Group'!$G25,ROW(1:254),1),$G$15,1))),TRUE,FALSE)</f>
        <v>1</v>
      </c>
      <c r="AC12" s="547" t="b">
        <f>IF(ISNUMBER(SUMPRODUCT(FIND(MID('contact persons VW Group'!$G27,ROW(1:254),1),$G$15,1))),TRUE,FALSE)</f>
        <v>1</v>
      </c>
      <c r="AD12" s="547" t="b">
        <f>IF(ISNUMBER(SUMPRODUCT(FIND(MID('contact persons VW Group'!$G28,ROW(1:254),1),$G$15,1))),TRUE,FALSE)</f>
        <v>1</v>
      </c>
      <c r="AE12" s="547" t="b">
        <f>IF(ISNUMBER(SUMPRODUCT(FIND(MID('contact persons VW Group'!$G34,ROW(1:254),1),$G$15,1))),TRUE,FALSE)</f>
        <v>1</v>
      </c>
      <c r="AF12" s="547" t="b">
        <f>IF(ISNUMBER(SUMPRODUCT(FIND(MID('contact persons VW Group'!$G35,ROW(1:254),1),$G$15,1))),TRUE,FALSE)</f>
        <v>1</v>
      </c>
      <c r="AG12" s="547" t="b">
        <f>IF(ISNUMBER(SUMPRODUCT(FIND(MID('contact persons VW Group'!$G36,ROW(1:254),1),$G$15,1))),TRUE,FALSE)</f>
        <v>1</v>
      </c>
      <c r="AH12" s="547" t="b">
        <f>IF(ISNUMBER(SUMPRODUCT(FIND(MID('contact persons VW Group'!$G37,ROW(1:254),1),$G$15,1))),TRUE,FALSE)</f>
        <v>1</v>
      </c>
      <c r="AI12" s="547" t="b">
        <f>IF(ISNUMBER(SUMPRODUCT(FIND(MID('contact persons VW Group'!$G38,ROW(1:254),1),$G$15,1))),TRUE,FALSE)</f>
        <v>1</v>
      </c>
      <c r="AJ12" s="547" t="b">
        <f>IF(ISNUMBER(SUMPRODUCT(FIND(MID('contact persons VW Group'!$G39,ROW(1:254),1),$G$15,1))),TRUE,FALSE)</f>
        <v>1</v>
      </c>
      <c r="AK12" s="547" t="b">
        <f>IF(ISNUMBER(SUMPRODUCT(FIND(MID('contact persons VW Group'!$G40,ROW(1:254),1),$G$15,1))),TRUE,FALSE)</f>
        <v>1</v>
      </c>
      <c r="AL12" s="547" t="b">
        <f>IF(ISNUMBER(SUMPRODUCT(FIND(MID('contact persons VW Group'!$G41,ROW(1:254),1),$G$15,1))),TRUE,FALSE)</f>
        <v>1</v>
      </c>
      <c r="AM12" s="547" t="b">
        <f>IF(ISNUMBER(SUMPRODUCT(FIND(MID('contact persons VW Group'!$G42,ROW(1:254),1),$G$15,1))),TRUE,FALSE)</f>
        <v>1</v>
      </c>
      <c r="AN12" s="547" t="b">
        <f>IF(ISNUMBER(SUMPRODUCT(FIND(MID('contact persons VW Group'!$G43,ROW(1:254),1),$G$15,1))),TRUE,FALSE)</f>
        <v>1</v>
      </c>
      <c r="AO12" s="547" t="b">
        <f>IF(ISNUMBER(SUMPRODUCT(FIND(MID('contact persons VW Group'!$G44,ROW(1:254),1),$G$15,1))),TRUE,FALSE)</f>
        <v>1</v>
      </c>
      <c r="AP12" s="547" t="b">
        <f>IF(ISNUMBER(SUMPRODUCT(FIND(MID('contact persons VW Group'!$G45,ROW(1:254),1),$G$15,1))),TRUE,FALSE)</f>
        <v>1</v>
      </c>
      <c r="AQ12" s="547" t="b">
        <f>IF(ISNUMBER(SUMPRODUCT(FIND(MID('contact persons VW Group'!$G46,ROW(1:254),1),$G$15,1))),TRUE,FALSE)</f>
        <v>1</v>
      </c>
      <c r="AR12" s="547" t="b">
        <f>IF(ISNUMBER(SUMPRODUCT(FIND(MID('contact persons VW Group'!$G47,ROW(1:254),1),$G$15,1))),TRUE,FALSE)</f>
        <v>1</v>
      </c>
      <c r="AS12" s="547" t="b">
        <f>IF(ISNUMBER(SUMPRODUCT(FIND(MID('contact persons VW Group'!$G48,ROW(1:254),1),$G$15,1))),TRUE,FALSE)</f>
        <v>1</v>
      </c>
      <c r="AT12" s="547" t="b">
        <f>IF(ISNUMBER(SUMPRODUCT(FIND(MID('contact persons VW Group'!$G50,ROW(1:254),1),$G$15,1))),TRUE,FALSE)</f>
        <v>1</v>
      </c>
      <c r="AU12" s="547" t="b">
        <f>IF(ISNUMBER(SUMPRODUCT(FIND(MID('contact persons VW Group'!$G51,ROW(1:254),1),$G$15,1))),TRUE,FALSE)</f>
        <v>1</v>
      </c>
    </row>
    <row r="13" spans="1:52" x14ac:dyDescent="0.25">
      <c r="D13" s="134" t="s">
        <v>171</v>
      </c>
      <c r="F13" s="349" t="s">
        <v>757</v>
      </c>
      <c r="G13" t="s">
        <v>760</v>
      </c>
      <c r="H13" s="354" t="str">
        <f>IF('company data'!B36="","",IF(SUMPRODUCT(H3:H12*1)=10,"gültig","ungültig"))</f>
        <v/>
      </c>
      <c r="I13" s="354" t="str">
        <f>IF('contact persons'!C12="","",IF(SUMPRODUCT(I3:I12*1)=10,"gültig","ungültig"))</f>
        <v/>
      </c>
      <c r="J13" s="535" t="str">
        <f>IF('contact persons'!C20="","",IF(SUMPRODUCT(J3:J12*1)=10,"gültig","ungültig"))</f>
        <v/>
      </c>
      <c r="K13" s="354" t="str">
        <f>IF('contact persons'!C29="","",IF(SUMPRODUCT(K3:K12*1)=10,"gültig","ungültig"))</f>
        <v/>
      </c>
      <c r="L13" s="535" t="str">
        <f>IF('contact persons'!C37="","",IF(SUMPRODUCT(L3:L12*1)=10,"gültig","ungültig"))</f>
        <v/>
      </c>
      <c r="M13" s="520" t="str">
        <f>IF(applications!K15="","",IF(SUMPRODUCT(M3:M12*1)=10,"gültig","ungültig"))</f>
        <v/>
      </c>
      <c r="N13" s="550" t="str">
        <f>IF('contact persons VW Group'!$G11="","",IF(SUMPRODUCT(N3:N12*1)=10,"gültig","ungültig"))</f>
        <v/>
      </c>
      <c r="O13" s="550" t="str">
        <f>IF('contact persons VW Group'!$G12="","",IF(SUMPRODUCT(O3:O12*1)=10,"gültig","ungültig"))</f>
        <v/>
      </c>
      <c r="P13" s="550" t="str">
        <f>IF('contact persons VW Group'!$G13="","",IF(SUMPRODUCT(P3:P12*1)=10,"gültig","ungültig"))</f>
        <v/>
      </c>
      <c r="Q13" s="550" t="str">
        <f>IF('contact persons VW Group'!$G14="","",IF(SUMPRODUCT(Q3:Q12*1)=10,"gültig","ungültig"))</f>
        <v/>
      </c>
      <c r="R13" s="550" t="str">
        <f>IF('contact persons VW Group'!$G15="","",IF(SUMPRODUCT(R3:R12*1)=10,"gültig","ungültig"))</f>
        <v/>
      </c>
      <c r="S13" s="550" t="str">
        <f>IF('contact persons VW Group'!$G16="","",IF(SUMPRODUCT(S3:S12*1)=10,"gültig","ungültig"))</f>
        <v/>
      </c>
      <c r="T13" s="550" t="str">
        <f>IF('contact persons VW Group'!$G17="","",IF(SUMPRODUCT(T3:T12*1)=10,"gültig","ungültig"))</f>
        <v/>
      </c>
      <c r="U13" s="550" t="str">
        <f>IF('contact persons VW Group'!$G18="","",IF(SUMPRODUCT(U3:U12*1)=10,"gültig","ungültig"))</f>
        <v/>
      </c>
      <c r="V13" s="550" t="str">
        <f>IF('contact persons VW Group'!$G19="","",IF(SUMPRODUCT(V3:V12*1)=10,"gültig","ungültig"))</f>
        <v/>
      </c>
      <c r="W13" s="550" t="str">
        <f>IF('contact persons VW Group'!$G20="","",IF(SUMPRODUCT(W3:W12*1)=10,"gültig","ungültig"))</f>
        <v/>
      </c>
      <c r="X13" s="550" t="str">
        <f>IF('contact persons VW Group'!$G21="","",IF(SUMPRODUCT(X3:X12*1)=10,"gültig","ungültig"))</f>
        <v/>
      </c>
      <c r="Y13" s="550" t="str">
        <f>IF('contact persons VW Group'!$G22="","",IF(SUMPRODUCT(Y3:Y12*1)=10,"gültig","ungültig"))</f>
        <v/>
      </c>
      <c r="Z13" s="550" t="str">
        <f>IF('contact persons VW Group'!$G23="","",IF(SUMPRODUCT(Z3:Z12*1)=10,"gültig","ungültig"))</f>
        <v/>
      </c>
      <c r="AA13" s="550" t="str">
        <f>IF('contact persons VW Group'!$G24="","",IF(SUMPRODUCT(AA3:AA12*1)=10,"gültig","ungültig"))</f>
        <v/>
      </c>
      <c r="AB13" s="550" t="str">
        <f>IF('contact persons VW Group'!$G25="","",IF(SUMPRODUCT(AB3:AB12*1)=10,"gültig","ungültig"))</f>
        <v/>
      </c>
      <c r="AC13" s="550" t="str">
        <f>IF('contact persons VW Group'!$G27="","",IF(SUMPRODUCT(AC3:AC12*1)=10,"gültig","ungültig"))</f>
        <v/>
      </c>
      <c r="AD13" s="550" t="str">
        <f>IF('contact persons VW Group'!$G28="","",IF(SUMPRODUCT(AD3:AD12*1)=10,"gültig","ungültig"))</f>
        <v/>
      </c>
      <c r="AE13" s="550" t="str">
        <f>IF('contact persons VW Group'!$G34="","",IF(SUMPRODUCT(AE3:AE12*1)=10,"gültig","ungültig"))</f>
        <v/>
      </c>
      <c r="AF13" s="550" t="str">
        <f>IF('contact persons VW Group'!$G35="","",IF(SUMPRODUCT(AF3:AF12*1)=10,"gültig","ungültig"))</f>
        <v/>
      </c>
      <c r="AG13" s="550" t="str">
        <f>IF('contact persons VW Group'!$G36="","",IF(SUMPRODUCT(AG3:AG12*1)=10,"gültig","ungültig"))</f>
        <v/>
      </c>
      <c r="AH13" s="550" t="str">
        <f>IF('contact persons VW Group'!$G37="","",IF(SUMPRODUCT(AH3:AH12*1)=10,"gültig","ungültig"))</f>
        <v/>
      </c>
      <c r="AI13" s="550" t="str">
        <f>IF('contact persons VW Group'!$G38="","",IF(SUMPRODUCT(AI3:AI12*1)=10,"gültig","ungültig"))</f>
        <v/>
      </c>
      <c r="AJ13" s="550" t="str">
        <f>IF('contact persons VW Group'!$G39="","",IF(SUMPRODUCT(AJ3:AJ12*1)=10,"gültig","ungültig"))</f>
        <v/>
      </c>
      <c r="AK13" s="550" t="str">
        <f>IF('contact persons VW Group'!$G40="","",IF(SUMPRODUCT(AK3:AK12*1)=10,"gültig","ungültig"))</f>
        <v/>
      </c>
      <c r="AL13" s="550" t="str">
        <f>IF('contact persons VW Group'!$G41="","",IF(SUMPRODUCT(AL3:AL12*1)=10,"gültig","ungültig"))</f>
        <v/>
      </c>
      <c r="AM13" s="550" t="str">
        <f>IF('contact persons VW Group'!$G42="","",IF(SUMPRODUCT(AM3:AM12*1)=10,"gültig","ungültig"))</f>
        <v/>
      </c>
      <c r="AN13" s="550" t="str">
        <f>IF('contact persons VW Group'!$G43="","",IF(SUMPRODUCT(AN3:AN12*1)=10,"gültig","ungültig"))</f>
        <v/>
      </c>
      <c r="AO13" s="550" t="str">
        <f>IF('contact persons VW Group'!$G44="","",IF(SUMPRODUCT(AO3:AO12*1)=10,"gültig","ungültig"))</f>
        <v/>
      </c>
      <c r="AP13" s="550" t="str">
        <f>IF('contact persons VW Group'!$G45="","",IF(SUMPRODUCT(AP3:AP12*1)=10,"gültig","ungültig"))</f>
        <v/>
      </c>
      <c r="AQ13" s="550" t="str">
        <f>IF('contact persons VW Group'!$G46="","",IF(SUMPRODUCT(AQ3:AQ12*1)=10,"gültig","ungültig"))</f>
        <v/>
      </c>
      <c r="AR13" s="550" t="str">
        <f>IF('contact persons VW Group'!$G47="","",IF(SUMPRODUCT(AR3:AR12*1)=10,"gültig","ungültig"))</f>
        <v/>
      </c>
      <c r="AS13" s="550" t="str">
        <f>IF('contact persons VW Group'!$G48="","",IF(SUMPRODUCT(AS3:AS12*1)=10,"gültig","ungültig"))</f>
        <v/>
      </c>
      <c r="AT13" s="550" t="str">
        <f>IF('contact persons VW Group'!$G50="","",IF(SUMPRODUCT(AT3:AT12*1)=10,"gültig","ungültig"))</f>
        <v/>
      </c>
      <c r="AU13" s="550" t="str">
        <f>IF('contact persons VW Group'!$G51="","",IF(SUMPRODUCT(AU3:AU12*1)=10,"gültig","ungültig"))</f>
        <v/>
      </c>
    </row>
    <row r="14" spans="1:52" x14ac:dyDescent="0.25">
      <c r="D14" s="134" t="s">
        <v>512</v>
      </c>
    </row>
    <row r="15" spans="1:52" x14ac:dyDescent="0.25">
      <c r="D15" s="134" t="s">
        <v>261</v>
      </c>
      <c r="F15" t="s">
        <v>758</v>
      </c>
      <c r="G15" t="s">
        <v>759</v>
      </c>
    </row>
    <row r="16" spans="1:52" x14ac:dyDescent="0.25">
      <c r="D16" s="134" t="s">
        <v>201</v>
      </c>
    </row>
    <row r="17" spans="4:4" x14ac:dyDescent="0.25">
      <c r="D17" s="134" t="s">
        <v>524</v>
      </c>
    </row>
    <row r="18" spans="4:4" x14ac:dyDescent="0.25">
      <c r="D18" s="134" t="s">
        <v>375</v>
      </c>
    </row>
    <row r="19" spans="4:4" x14ac:dyDescent="0.25">
      <c r="D19" s="134" t="s">
        <v>362</v>
      </c>
    </row>
    <row r="20" spans="4:4" x14ac:dyDescent="0.25">
      <c r="D20" s="134" t="s">
        <v>343</v>
      </c>
    </row>
    <row r="21" spans="4:4" x14ac:dyDescent="0.25">
      <c r="D21" s="134" t="s">
        <v>237</v>
      </c>
    </row>
    <row r="22" spans="4:4" x14ac:dyDescent="0.25">
      <c r="D22" s="134" t="s">
        <v>179</v>
      </c>
    </row>
    <row r="23" spans="4:4" x14ac:dyDescent="0.25">
      <c r="D23" s="134" t="s">
        <v>176</v>
      </c>
    </row>
    <row r="24" spans="4:4" x14ac:dyDescent="0.25">
      <c r="D24" s="134" t="s">
        <v>119</v>
      </c>
    </row>
    <row r="25" spans="4:4" x14ac:dyDescent="0.25">
      <c r="D25" s="134" t="s">
        <v>99</v>
      </c>
    </row>
    <row r="26" spans="4:4" x14ac:dyDescent="0.25">
      <c r="D26" s="134" t="s">
        <v>61</v>
      </c>
    </row>
    <row r="27" spans="4:4" x14ac:dyDescent="0.25">
      <c r="D27" s="134" t="s">
        <v>564</v>
      </c>
    </row>
    <row r="28" spans="4:4" x14ac:dyDescent="0.25">
      <c r="D28" s="134" t="s">
        <v>223</v>
      </c>
    </row>
    <row r="29" spans="4:4" x14ac:dyDescent="0.25">
      <c r="D29" s="134" t="s">
        <v>387</v>
      </c>
    </row>
    <row r="34" spans="2:2" x14ac:dyDescent="0.25">
      <c r="B34" s="795" t="s">
        <v>1033</v>
      </c>
    </row>
    <row r="35" spans="2:2" x14ac:dyDescent="0.25">
      <c r="B35" s="787" t="s">
        <v>1035</v>
      </c>
    </row>
  </sheetData>
  <sheetProtection algorithmName="SHA-512" hashValue="ilrcqM/evvoFCxaGklk3IE4dcPYi/wbPCRQgrWXKuc/Y4DoLEa89FeguGl8C83ZkrO4gujysxSw+lE7nzGrxAw==" saltValue="3nP4kydb4JXhvEnadh344A==" spinCount="100000" sheet="1" objects="1" scenarios="1"/>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31"/>
  <sheetViews>
    <sheetView workbookViewId="0">
      <pane ySplit="1" topLeftCell="A2" activePane="bottomLeft" state="frozen"/>
      <selection activeCell="P13" sqref="P13"/>
      <selection pane="bottomLeft" activeCell="E1" sqref="E1"/>
    </sheetView>
  </sheetViews>
  <sheetFormatPr baseColWidth="10" defaultColWidth="11.42578125" defaultRowHeight="12.75" x14ac:dyDescent="0.2"/>
  <cols>
    <col min="1" max="1" width="31.5703125" style="10" hidden="1" customWidth="1"/>
    <col min="2" max="2" width="34.140625" style="10" hidden="1" customWidth="1"/>
    <col min="3" max="3" width="4.140625" style="10" hidden="1" customWidth="1"/>
    <col min="4" max="4" width="0" style="10" hidden="1" customWidth="1"/>
    <col min="5" max="16384" width="11.42578125" style="10"/>
  </cols>
  <sheetData>
    <row r="1" spans="1:5" s="11" customFormat="1" x14ac:dyDescent="0.2">
      <c r="A1" s="11" t="s">
        <v>657</v>
      </c>
      <c r="B1" s="11" t="s">
        <v>656</v>
      </c>
      <c r="C1" s="11" t="s">
        <v>655</v>
      </c>
      <c r="E1" s="11" t="s">
        <v>1033</v>
      </c>
    </row>
    <row r="2" spans="1:5" x14ac:dyDescent="0.2">
      <c r="A2" s="10" t="s">
        <v>654</v>
      </c>
      <c r="B2" s="10" t="s">
        <v>654</v>
      </c>
      <c r="C2" s="10" t="s">
        <v>653</v>
      </c>
      <c r="E2" s="730" t="s">
        <v>1034</v>
      </c>
    </row>
    <row r="3" spans="1:5" x14ac:dyDescent="0.2">
      <c r="A3" s="10" t="s">
        <v>649</v>
      </c>
      <c r="B3" s="10" t="s">
        <v>648</v>
      </c>
      <c r="C3" s="10" t="s">
        <v>647</v>
      </c>
    </row>
    <row r="4" spans="1:5" x14ac:dyDescent="0.2">
      <c r="A4" s="10" t="s">
        <v>646</v>
      </c>
      <c r="B4" s="10" t="s">
        <v>645</v>
      </c>
      <c r="C4" s="10" t="s">
        <v>644</v>
      </c>
    </row>
    <row r="5" spans="1:5" x14ac:dyDescent="0.2">
      <c r="A5" s="10" t="s">
        <v>640</v>
      </c>
      <c r="B5" s="10" t="s">
        <v>639</v>
      </c>
      <c r="C5" s="10" t="s">
        <v>638</v>
      </c>
    </row>
    <row r="6" spans="1:5" x14ac:dyDescent="0.2">
      <c r="A6" s="10" t="s">
        <v>637</v>
      </c>
      <c r="B6" s="10" t="s">
        <v>637</v>
      </c>
      <c r="C6" s="10" t="s">
        <v>636</v>
      </c>
    </row>
    <row r="7" spans="1:5" x14ac:dyDescent="0.2">
      <c r="A7" s="10" t="s">
        <v>635</v>
      </c>
      <c r="B7" s="10" t="s">
        <v>635</v>
      </c>
      <c r="C7" s="10" t="s">
        <v>634</v>
      </c>
    </row>
    <row r="8" spans="1:5" x14ac:dyDescent="0.2">
      <c r="A8" s="10" t="s">
        <v>633</v>
      </c>
      <c r="B8" s="10" t="s">
        <v>633</v>
      </c>
      <c r="C8" s="10" t="s">
        <v>632</v>
      </c>
    </row>
    <row r="9" spans="1:5" x14ac:dyDescent="0.2">
      <c r="A9" s="10" t="s">
        <v>631</v>
      </c>
      <c r="B9" s="10" t="s">
        <v>630</v>
      </c>
      <c r="C9" s="10" t="s">
        <v>629</v>
      </c>
    </row>
    <row r="10" spans="1:5" x14ac:dyDescent="0.2">
      <c r="A10" s="10" t="s">
        <v>625</v>
      </c>
      <c r="B10" s="10" t="s">
        <v>624</v>
      </c>
      <c r="C10" s="10" t="s">
        <v>623</v>
      </c>
    </row>
    <row r="11" spans="1:5" x14ac:dyDescent="0.2">
      <c r="A11" s="10" t="s">
        <v>622</v>
      </c>
      <c r="B11" s="10" t="s">
        <v>621</v>
      </c>
      <c r="C11" s="10" t="s">
        <v>620</v>
      </c>
    </row>
    <row r="12" spans="1:5" x14ac:dyDescent="0.2">
      <c r="A12" s="10" t="s">
        <v>619</v>
      </c>
      <c r="B12" s="10" t="s">
        <v>619</v>
      </c>
      <c r="C12" s="10" t="s">
        <v>618</v>
      </c>
    </row>
    <row r="13" spans="1:5" x14ac:dyDescent="0.2">
      <c r="A13" s="10" t="s">
        <v>611</v>
      </c>
      <c r="B13" s="10" t="s">
        <v>610</v>
      </c>
      <c r="C13" s="10" t="s">
        <v>609</v>
      </c>
    </row>
    <row r="14" spans="1:5" x14ac:dyDescent="0.2">
      <c r="A14" s="10" t="s">
        <v>608</v>
      </c>
      <c r="B14" s="10" t="s">
        <v>607</v>
      </c>
      <c r="C14" s="10" t="s">
        <v>606</v>
      </c>
    </row>
    <row r="15" spans="1:5" x14ac:dyDescent="0.2">
      <c r="A15" s="10" t="s">
        <v>262</v>
      </c>
      <c r="B15" s="730" t="s">
        <v>261</v>
      </c>
      <c r="C15" s="10" t="s">
        <v>260</v>
      </c>
    </row>
    <row r="16" spans="1:5" x14ac:dyDescent="0.2">
      <c r="A16" s="10" t="s">
        <v>617</v>
      </c>
      <c r="B16" s="10" t="s">
        <v>616</v>
      </c>
      <c r="C16" s="10" t="s">
        <v>615</v>
      </c>
    </row>
    <row r="17" spans="1:3" x14ac:dyDescent="0.2">
      <c r="A17" s="10" t="s">
        <v>605</v>
      </c>
      <c r="B17" s="10" t="s">
        <v>605</v>
      </c>
      <c r="C17" s="10" t="s">
        <v>604</v>
      </c>
    </row>
    <row r="18" spans="1:3" x14ac:dyDescent="0.2">
      <c r="A18" s="10" t="s">
        <v>603</v>
      </c>
      <c r="B18" s="10" t="s">
        <v>603</v>
      </c>
      <c r="C18" s="10" t="s">
        <v>602</v>
      </c>
    </row>
    <row r="19" spans="1:3" x14ac:dyDescent="0.2">
      <c r="A19" s="10" t="s">
        <v>601</v>
      </c>
      <c r="B19" s="10" t="s">
        <v>600</v>
      </c>
      <c r="C19" s="10" t="s">
        <v>599</v>
      </c>
    </row>
    <row r="20" spans="1:3" x14ac:dyDescent="0.2">
      <c r="A20" s="10" t="s">
        <v>598</v>
      </c>
      <c r="B20" s="10" t="s">
        <v>598</v>
      </c>
      <c r="C20" s="10" t="s">
        <v>597</v>
      </c>
    </row>
    <row r="21" spans="1:3" x14ac:dyDescent="0.2">
      <c r="A21" s="10" t="s">
        <v>71</v>
      </c>
      <c r="B21" s="10" t="s">
        <v>70</v>
      </c>
      <c r="C21" s="10" t="s">
        <v>69</v>
      </c>
    </row>
    <row r="22" spans="1:3" x14ac:dyDescent="0.2">
      <c r="A22" s="10" t="s">
        <v>596</v>
      </c>
      <c r="B22" s="730" t="s">
        <v>595</v>
      </c>
      <c r="C22" s="10" t="s">
        <v>594</v>
      </c>
    </row>
    <row r="23" spans="1:3" x14ac:dyDescent="0.2">
      <c r="A23" s="10" t="s">
        <v>593</v>
      </c>
      <c r="B23" s="10" t="s">
        <v>593</v>
      </c>
      <c r="C23" s="10" t="s">
        <v>592</v>
      </c>
    </row>
    <row r="24" spans="1:3" x14ac:dyDescent="0.2">
      <c r="A24" s="10" t="s">
        <v>591</v>
      </c>
      <c r="B24" s="10" t="s">
        <v>591</v>
      </c>
      <c r="C24" s="10" t="s">
        <v>590</v>
      </c>
    </row>
    <row r="25" spans="1:3" x14ac:dyDescent="0.2">
      <c r="A25" s="10" t="s">
        <v>589</v>
      </c>
      <c r="B25" s="10" t="s">
        <v>589</v>
      </c>
      <c r="C25" s="10" t="s">
        <v>588</v>
      </c>
    </row>
    <row r="26" spans="1:3" x14ac:dyDescent="0.2">
      <c r="A26" s="10" t="s">
        <v>587</v>
      </c>
      <c r="B26" s="10" t="s">
        <v>587</v>
      </c>
      <c r="C26" s="10" t="s">
        <v>586</v>
      </c>
    </row>
    <row r="27" spans="1:3" x14ac:dyDescent="0.2">
      <c r="A27" s="10" t="s">
        <v>585</v>
      </c>
      <c r="B27" s="10" t="s">
        <v>584</v>
      </c>
      <c r="C27" s="10" t="s">
        <v>583</v>
      </c>
    </row>
    <row r="28" spans="1:3" x14ac:dyDescent="0.2">
      <c r="A28" s="10" t="s">
        <v>582</v>
      </c>
      <c r="B28" s="10" t="s">
        <v>581</v>
      </c>
      <c r="C28" s="10" t="s">
        <v>580</v>
      </c>
    </row>
    <row r="29" spans="1:3" x14ac:dyDescent="0.2">
      <c r="A29" s="10" t="s">
        <v>579</v>
      </c>
      <c r="B29" s="10" t="s">
        <v>578</v>
      </c>
      <c r="C29" s="10" t="s">
        <v>577</v>
      </c>
    </row>
    <row r="30" spans="1:3" x14ac:dyDescent="0.2">
      <c r="A30" s="10" t="s">
        <v>576</v>
      </c>
      <c r="B30" s="10" t="s">
        <v>575</v>
      </c>
      <c r="C30" s="10" t="s">
        <v>574</v>
      </c>
    </row>
    <row r="31" spans="1:3" x14ac:dyDescent="0.2">
      <c r="A31" s="10" t="s">
        <v>570</v>
      </c>
      <c r="B31" s="10" t="s">
        <v>569</v>
      </c>
      <c r="C31" s="10" t="s">
        <v>568</v>
      </c>
    </row>
    <row r="32" spans="1:3" x14ac:dyDescent="0.2">
      <c r="A32" s="10" t="s">
        <v>573</v>
      </c>
      <c r="B32" s="10" t="s">
        <v>572</v>
      </c>
      <c r="C32" s="10" t="s">
        <v>571</v>
      </c>
    </row>
    <row r="33" spans="1:3" x14ac:dyDescent="0.2">
      <c r="A33" s="10" t="s">
        <v>567</v>
      </c>
      <c r="B33" s="10" t="s">
        <v>567</v>
      </c>
      <c r="C33" s="10" t="s">
        <v>566</v>
      </c>
    </row>
    <row r="34" spans="1:3" x14ac:dyDescent="0.2">
      <c r="A34" s="10" t="s">
        <v>565</v>
      </c>
      <c r="B34" s="10" t="s">
        <v>564</v>
      </c>
      <c r="C34" s="10" t="s">
        <v>563</v>
      </c>
    </row>
    <row r="35" spans="1:3" x14ac:dyDescent="0.2">
      <c r="A35" s="10" t="s">
        <v>562</v>
      </c>
      <c r="B35" s="10" t="s">
        <v>562</v>
      </c>
      <c r="C35" s="10" t="s">
        <v>561</v>
      </c>
    </row>
    <row r="36" spans="1:3" x14ac:dyDescent="0.2">
      <c r="A36" s="10" t="s">
        <v>560</v>
      </c>
      <c r="B36" s="10" t="s">
        <v>560</v>
      </c>
      <c r="C36" s="10" t="s">
        <v>559</v>
      </c>
    </row>
    <row r="37" spans="1:3" x14ac:dyDescent="0.2">
      <c r="A37" s="10" t="s">
        <v>422</v>
      </c>
      <c r="B37" s="10" t="s">
        <v>421</v>
      </c>
      <c r="C37" s="10" t="s">
        <v>420</v>
      </c>
    </row>
    <row r="38" spans="1:3" x14ac:dyDescent="0.2">
      <c r="A38" s="10" t="s">
        <v>419</v>
      </c>
      <c r="B38" s="10" t="s">
        <v>418</v>
      </c>
      <c r="C38" s="10" t="s">
        <v>417</v>
      </c>
    </row>
    <row r="39" spans="1:3" x14ac:dyDescent="0.2">
      <c r="A39" s="10" t="s">
        <v>416</v>
      </c>
      <c r="B39" s="10" t="s">
        <v>415</v>
      </c>
      <c r="C39" s="10" t="s">
        <v>414</v>
      </c>
    </row>
    <row r="40" spans="1:3" x14ac:dyDescent="0.2">
      <c r="A40" s="10" t="s">
        <v>413</v>
      </c>
      <c r="B40" s="10" t="s">
        <v>412</v>
      </c>
      <c r="C40" s="10" t="s">
        <v>411</v>
      </c>
    </row>
    <row r="41" spans="1:3" x14ac:dyDescent="0.2">
      <c r="A41" s="10" t="s">
        <v>425</v>
      </c>
      <c r="B41" s="10" t="s">
        <v>424</v>
      </c>
      <c r="C41" s="10" t="s">
        <v>423</v>
      </c>
    </row>
    <row r="42" spans="1:3" x14ac:dyDescent="0.2">
      <c r="A42" s="10" t="s">
        <v>65</v>
      </c>
      <c r="B42" s="10" t="s">
        <v>64</v>
      </c>
      <c r="C42" s="10" t="s">
        <v>63</v>
      </c>
    </row>
    <row r="43" spans="1:3" x14ac:dyDescent="0.2">
      <c r="A43" s="10" t="s">
        <v>558</v>
      </c>
      <c r="B43" s="10" t="s">
        <v>558</v>
      </c>
      <c r="C43" s="10" t="s">
        <v>557</v>
      </c>
    </row>
    <row r="44" spans="1:3" x14ac:dyDescent="0.2">
      <c r="A44" s="10" t="s">
        <v>123</v>
      </c>
      <c r="B44" s="10" t="s">
        <v>122</v>
      </c>
      <c r="C44" s="10" t="s">
        <v>121</v>
      </c>
    </row>
    <row r="45" spans="1:3" x14ac:dyDescent="0.2">
      <c r="A45" s="10" t="s">
        <v>556</v>
      </c>
      <c r="B45" s="10" t="s">
        <v>556</v>
      </c>
      <c r="C45" s="10" t="s">
        <v>555</v>
      </c>
    </row>
    <row r="46" spans="1:3" x14ac:dyDescent="0.2">
      <c r="A46" s="10" t="s">
        <v>554</v>
      </c>
      <c r="B46" s="10" t="s">
        <v>554</v>
      </c>
      <c r="C46" s="10" t="s">
        <v>553</v>
      </c>
    </row>
    <row r="47" spans="1:3" x14ac:dyDescent="0.2">
      <c r="A47" s="10" t="s">
        <v>396</v>
      </c>
      <c r="B47" s="10" t="s">
        <v>395</v>
      </c>
      <c r="C47" s="10" t="s">
        <v>394</v>
      </c>
    </row>
    <row r="48" spans="1:3" x14ac:dyDescent="0.2">
      <c r="A48" s="10" t="s">
        <v>393</v>
      </c>
      <c r="B48" s="10" t="s">
        <v>392</v>
      </c>
      <c r="C48" s="10" t="s">
        <v>391</v>
      </c>
    </row>
    <row r="49" spans="1:3" x14ac:dyDescent="0.2">
      <c r="A49" s="10" t="s">
        <v>552</v>
      </c>
      <c r="B49" s="10" t="s">
        <v>552</v>
      </c>
      <c r="C49" s="10" t="s">
        <v>551</v>
      </c>
    </row>
    <row r="50" spans="1:3" x14ac:dyDescent="0.2">
      <c r="A50" s="10" t="s">
        <v>550</v>
      </c>
      <c r="B50" s="10" t="s">
        <v>550</v>
      </c>
      <c r="C50" s="10" t="s">
        <v>549</v>
      </c>
    </row>
    <row r="51" spans="1:3" x14ac:dyDescent="0.2">
      <c r="A51" s="10" t="s">
        <v>388</v>
      </c>
      <c r="B51" s="730" t="s">
        <v>387</v>
      </c>
      <c r="C51" s="10" t="s">
        <v>386</v>
      </c>
    </row>
    <row r="52" spans="1:3" x14ac:dyDescent="0.2">
      <c r="A52" s="10" t="s">
        <v>385</v>
      </c>
      <c r="B52" s="10" t="s">
        <v>384</v>
      </c>
      <c r="C52" s="10" t="s">
        <v>383</v>
      </c>
    </row>
    <row r="53" spans="1:3" x14ac:dyDescent="0.2">
      <c r="A53" s="10" t="s">
        <v>62</v>
      </c>
      <c r="B53" s="730" t="s">
        <v>61</v>
      </c>
      <c r="C53" s="10" t="s">
        <v>60</v>
      </c>
    </row>
    <row r="54" spans="1:3" x14ac:dyDescent="0.2">
      <c r="A54" s="10" t="s">
        <v>120</v>
      </c>
      <c r="B54" s="730" t="s">
        <v>119</v>
      </c>
      <c r="C54" s="10" t="s">
        <v>118</v>
      </c>
    </row>
    <row r="55" spans="1:3" x14ac:dyDescent="0.2">
      <c r="A55" s="10" t="s">
        <v>545</v>
      </c>
      <c r="B55" s="10" t="s">
        <v>544</v>
      </c>
      <c r="C55" s="10" t="s">
        <v>543</v>
      </c>
    </row>
    <row r="56" spans="1:3" x14ac:dyDescent="0.2">
      <c r="A56" s="10" t="s">
        <v>548</v>
      </c>
      <c r="B56" s="730" t="s">
        <v>547</v>
      </c>
      <c r="C56" s="10" t="s">
        <v>546</v>
      </c>
    </row>
    <row r="57" spans="1:3" x14ac:dyDescent="0.2">
      <c r="A57" s="10" t="s">
        <v>534</v>
      </c>
      <c r="B57" s="10" t="s">
        <v>533</v>
      </c>
      <c r="C57" s="10" t="s">
        <v>532</v>
      </c>
    </row>
    <row r="58" spans="1:3" x14ac:dyDescent="0.2">
      <c r="A58" s="10" t="s">
        <v>539</v>
      </c>
      <c r="B58" s="10" t="s">
        <v>539</v>
      </c>
      <c r="C58" s="10" t="s">
        <v>538</v>
      </c>
    </row>
    <row r="59" spans="1:3" x14ac:dyDescent="0.2">
      <c r="A59" s="10" t="s">
        <v>537</v>
      </c>
      <c r="B59" s="10" t="s">
        <v>536</v>
      </c>
      <c r="C59" s="10" t="s">
        <v>535</v>
      </c>
    </row>
    <row r="60" spans="1:3" x14ac:dyDescent="0.2">
      <c r="A60" s="10" t="s">
        <v>531</v>
      </c>
      <c r="B60" s="10" t="s">
        <v>531</v>
      </c>
      <c r="C60" s="10" t="s">
        <v>530</v>
      </c>
    </row>
    <row r="61" spans="1:3" x14ac:dyDescent="0.2">
      <c r="A61" s="10" t="s">
        <v>652</v>
      </c>
      <c r="B61" s="10" t="s">
        <v>651</v>
      </c>
      <c r="C61" s="10" t="s">
        <v>650</v>
      </c>
    </row>
    <row r="62" spans="1:3" x14ac:dyDescent="0.2">
      <c r="A62" s="10" t="s">
        <v>529</v>
      </c>
      <c r="B62" s="10" t="s">
        <v>529</v>
      </c>
      <c r="C62" s="10" t="s">
        <v>528</v>
      </c>
    </row>
    <row r="63" spans="1:3" x14ac:dyDescent="0.2">
      <c r="A63" s="10" t="s">
        <v>628</v>
      </c>
      <c r="B63" s="10" t="s">
        <v>627</v>
      </c>
      <c r="C63" s="10" t="s">
        <v>626</v>
      </c>
    </row>
    <row r="64" spans="1:3" x14ac:dyDescent="0.2">
      <c r="A64" s="10" t="s">
        <v>527</v>
      </c>
      <c r="B64" s="10" t="s">
        <v>527</v>
      </c>
      <c r="C64" s="10" t="s">
        <v>526</v>
      </c>
    </row>
    <row r="65" spans="1:3" x14ac:dyDescent="0.2">
      <c r="A65" s="10" t="s">
        <v>525</v>
      </c>
      <c r="B65" s="730" t="s">
        <v>524</v>
      </c>
      <c r="C65" s="10" t="s">
        <v>523</v>
      </c>
    </row>
    <row r="66" spans="1:3" x14ac:dyDescent="0.2">
      <c r="A66" s="10" t="s">
        <v>614</v>
      </c>
      <c r="B66" s="10" t="s">
        <v>613</v>
      </c>
      <c r="C66" s="10" t="s">
        <v>612</v>
      </c>
    </row>
    <row r="67" spans="1:3" x14ac:dyDescent="0.2">
      <c r="A67" s="10" t="s">
        <v>522</v>
      </c>
      <c r="B67" s="10" t="s">
        <v>521</v>
      </c>
      <c r="C67" s="10" t="s">
        <v>520</v>
      </c>
    </row>
    <row r="68" spans="1:3" x14ac:dyDescent="0.2">
      <c r="A68" s="10" t="s">
        <v>519</v>
      </c>
      <c r="B68" s="10" t="s">
        <v>518</v>
      </c>
      <c r="C68" s="10" t="s">
        <v>517</v>
      </c>
    </row>
    <row r="69" spans="1:3" x14ac:dyDescent="0.2">
      <c r="A69" s="10" t="s">
        <v>510</v>
      </c>
      <c r="B69" s="10" t="s">
        <v>509</v>
      </c>
      <c r="C69" s="10" t="s">
        <v>508</v>
      </c>
    </row>
    <row r="70" spans="1:3" x14ac:dyDescent="0.2">
      <c r="A70" s="10" t="s">
        <v>516</v>
      </c>
      <c r="B70" s="10" t="s">
        <v>515</v>
      </c>
      <c r="C70" s="10" t="s">
        <v>514</v>
      </c>
    </row>
    <row r="71" spans="1:3" x14ac:dyDescent="0.2">
      <c r="A71" s="10" t="s">
        <v>513</v>
      </c>
      <c r="B71" s="730" t="s">
        <v>512</v>
      </c>
      <c r="C71" s="10" t="s">
        <v>511</v>
      </c>
    </row>
    <row r="72" spans="1:3" x14ac:dyDescent="0.2">
      <c r="A72" s="10" t="s">
        <v>328</v>
      </c>
      <c r="B72" s="10" t="s">
        <v>327</v>
      </c>
      <c r="C72" s="10" t="s">
        <v>326</v>
      </c>
    </row>
    <row r="73" spans="1:3" x14ac:dyDescent="0.2">
      <c r="A73" s="10" t="s">
        <v>507</v>
      </c>
      <c r="B73" s="10" t="s">
        <v>506</v>
      </c>
      <c r="C73" s="10" t="s">
        <v>505</v>
      </c>
    </row>
    <row r="74" spans="1:3" x14ac:dyDescent="0.2">
      <c r="A74" s="10" t="s">
        <v>504</v>
      </c>
      <c r="B74" s="10" t="s">
        <v>503</v>
      </c>
      <c r="C74" s="10" t="s">
        <v>502</v>
      </c>
    </row>
    <row r="75" spans="1:3" x14ac:dyDescent="0.2">
      <c r="A75" s="10" t="s">
        <v>501</v>
      </c>
      <c r="B75" s="10" t="s">
        <v>500</v>
      </c>
      <c r="C75" s="10" t="s">
        <v>499</v>
      </c>
    </row>
    <row r="76" spans="1:3" x14ac:dyDescent="0.2">
      <c r="A76" s="10" t="s">
        <v>498</v>
      </c>
      <c r="B76" s="10" t="s">
        <v>498</v>
      </c>
      <c r="C76" s="10" t="s">
        <v>497</v>
      </c>
    </row>
    <row r="77" spans="1:3" x14ac:dyDescent="0.2">
      <c r="A77" s="10" t="s">
        <v>496</v>
      </c>
      <c r="B77" s="10" t="s">
        <v>495</v>
      </c>
      <c r="C77" s="10" t="s">
        <v>494</v>
      </c>
    </row>
    <row r="78" spans="1:3" x14ac:dyDescent="0.2">
      <c r="A78" s="10" t="s">
        <v>542</v>
      </c>
      <c r="B78" s="730" t="s">
        <v>541</v>
      </c>
      <c r="C78" s="10" t="s">
        <v>540</v>
      </c>
    </row>
    <row r="79" spans="1:3" x14ac:dyDescent="0.2">
      <c r="A79" s="10" t="s">
        <v>493</v>
      </c>
      <c r="B79" s="10" t="s">
        <v>493</v>
      </c>
      <c r="C79" s="10" t="s">
        <v>492</v>
      </c>
    </row>
    <row r="80" spans="1:3" x14ac:dyDescent="0.2">
      <c r="A80" s="10" t="s">
        <v>491</v>
      </c>
      <c r="B80" s="10" t="s">
        <v>491</v>
      </c>
      <c r="C80" s="10" t="s">
        <v>490</v>
      </c>
    </row>
    <row r="81" spans="1:3" x14ac:dyDescent="0.2">
      <c r="A81" s="10" t="s">
        <v>481</v>
      </c>
      <c r="B81" s="730" t="s">
        <v>480</v>
      </c>
      <c r="C81" s="10" t="s">
        <v>479</v>
      </c>
    </row>
    <row r="82" spans="1:3" x14ac:dyDescent="0.2">
      <c r="A82" s="10" t="s">
        <v>487</v>
      </c>
      <c r="B82" s="10" t="s">
        <v>486</v>
      </c>
      <c r="C82" s="10" t="s">
        <v>485</v>
      </c>
    </row>
    <row r="83" spans="1:3" x14ac:dyDescent="0.2">
      <c r="A83" s="10" t="s">
        <v>484</v>
      </c>
      <c r="B83" s="10" t="s">
        <v>483</v>
      </c>
      <c r="C83" s="10" t="s">
        <v>482</v>
      </c>
    </row>
    <row r="84" spans="1:3" x14ac:dyDescent="0.2">
      <c r="A84" s="10" t="s">
        <v>489</v>
      </c>
      <c r="B84" s="10" t="s">
        <v>489</v>
      </c>
      <c r="C84" s="10" t="s">
        <v>488</v>
      </c>
    </row>
    <row r="85" spans="1:3" x14ac:dyDescent="0.2">
      <c r="A85" s="10" t="s">
        <v>478</v>
      </c>
      <c r="B85" s="10" t="s">
        <v>478</v>
      </c>
      <c r="C85" s="10" t="s">
        <v>477</v>
      </c>
    </row>
    <row r="86" spans="1:3" x14ac:dyDescent="0.2">
      <c r="A86" s="10" t="s">
        <v>476</v>
      </c>
      <c r="B86" s="10" t="s">
        <v>476</v>
      </c>
      <c r="C86" s="10" t="s">
        <v>475</v>
      </c>
    </row>
    <row r="87" spans="1:3" x14ac:dyDescent="0.2">
      <c r="A87" s="10" t="s">
        <v>474</v>
      </c>
      <c r="B87" s="10" t="s">
        <v>474</v>
      </c>
      <c r="C87" s="10" t="s">
        <v>473</v>
      </c>
    </row>
    <row r="88" spans="1:3" x14ac:dyDescent="0.2">
      <c r="A88" s="10" t="s">
        <v>472</v>
      </c>
      <c r="B88" s="10" t="s">
        <v>472</v>
      </c>
      <c r="C88" s="10" t="s">
        <v>471</v>
      </c>
    </row>
    <row r="89" spans="1:3" x14ac:dyDescent="0.2">
      <c r="A89" s="10" t="s">
        <v>470</v>
      </c>
      <c r="B89" s="10" t="s">
        <v>470</v>
      </c>
      <c r="C89" s="10" t="s">
        <v>469</v>
      </c>
    </row>
    <row r="90" spans="1:3" x14ac:dyDescent="0.2">
      <c r="A90" s="10" t="s">
        <v>468</v>
      </c>
      <c r="B90" s="10" t="s">
        <v>468</v>
      </c>
      <c r="C90" s="10" t="s">
        <v>467</v>
      </c>
    </row>
    <row r="91" spans="1:3" x14ac:dyDescent="0.2">
      <c r="A91" s="10" t="s">
        <v>466</v>
      </c>
      <c r="B91" s="10" t="s">
        <v>466</v>
      </c>
      <c r="C91" s="10" t="s">
        <v>465</v>
      </c>
    </row>
    <row r="92" spans="1:3" x14ac:dyDescent="0.2">
      <c r="A92" s="10" t="s">
        <v>464</v>
      </c>
      <c r="B92" s="10" t="s">
        <v>463</v>
      </c>
      <c r="C92" s="10" t="s">
        <v>462</v>
      </c>
    </row>
    <row r="93" spans="1:3" x14ac:dyDescent="0.2">
      <c r="A93" s="10" t="s">
        <v>100</v>
      </c>
      <c r="B93" s="730" t="s">
        <v>99</v>
      </c>
      <c r="C93" s="10" t="s">
        <v>98</v>
      </c>
    </row>
    <row r="94" spans="1:3" x14ac:dyDescent="0.2">
      <c r="A94" s="10" t="s">
        <v>447</v>
      </c>
      <c r="B94" s="10" t="s">
        <v>446</v>
      </c>
      <c r="C94" s="10" t="s">
        <v>445</v>
      </c>
    </row>
    <row r="95" spans="1:3" x14ac:dyDescent="0.2">
      <c r="A95" s="10" t="s">
        <v>461</v>
      </c>
      <c r="B95" s="10" t="s">
        <v>460</v>
      </c>
      <c r="C95" s="10" t="s">
        <v>459</v>
      </c>
    </row>
    <row r="96" spans="1:3" x14ac:dyDescent="0.2">
      <c r="A96" s="10" t="s">
        <v>458</v>
      </c>
      <c r="B96" s="10" t="s">
        <v>457</v>
      </c>
      <c r="C96" s="10" t="s">
        <v>456</v>
      </c>
    </row>
    <row r="97" spans="1:3" x14ac:dyDescent="0.2">
      <c r="A97" s="10" t="s">
        <v>452</v>
      </c>
      <c r="B97" s="10" t="s">
        <v>452</v>
      </c>
      <c r="C97" s="10" t="s">
        <v>451</v>
      </c>
    </row>
    <row r="98" spans="1:3" x14ac:dyDescent="0.2">
      <c r="A98" s="10" t="s">
        <v>455</v>
      </c>
      <c r="B98" s="10" t="s">
        <v>454</v>
      </c>
      <c r="C98" s="10" t="s">
        <v>453</v>
      </c>
    </row>
    <row r="99" spans="1:3" x14ac:dyDescent="0.2">
      <c r="A99" s="10" t="s">
        <v>450</v>
      </c>
      <c r="B99" s="10" t="s">
        <v>449</v>
      </c>
      <c r="C99" s="10" t="s">
        <v>448</v>
      </c>
    </row>
    <row r="100" spans="1:3" x14ac:dyDescent="0.2">
      <c r="A100" s="10" t="s">
        <v>444</v>
      </c>
      <c r="B100" s="10" t="s">
        <v>444</v>
      </c>
      <c r="C100" s="10" t="s">
        <v>443</v>
      </c>
    </row>
    <row r="101" spans="1:3" x14ac:dyDescent="0.2">
      <c r="A101" s="10" t="s">
        <v>442</v>
      </c>
      <c r="B101" s="10" t="s">
        <v>441</v>
      </c>
      <c r="C101" s="10" t="s">
        <v>440</v>
      </c>
    </row>
    <row r="102" spans="1:3" x14ac:dyDescent="0.2">
      <c r="A102" s="10" t="s">
        <v>439</v>
      </c>
      <c r="B102" s="10" t="s">
        <v>438</v>
      </c>
      <c r="C102" s="10" t="s">
        <v>437</v>
      </c>
    </row>
    <row r="103" spans="1:3" x14ac:dyDescent="0.2">
      <c r="A103" s="10" t="s">
        <v>436</v>
      </c>
      <c r="B103" s="10" t="s">
        <v>436</v>
      </c>
      <c r="C103" s="10" t="s">
        <v>435</v>
      </c>
    </row>
    <row r="104" spans="1:3" x14ac:dyDescent="0.2">
      <c r="A104" s="10" t="s">
        <v>431</v>
      </c>
      <c r="B104" s="10" t="s">
        <v>430</v>
      </c>
      <c r="C104" s="10" t="s">
        <v>429</v>
      </c>
    </row>
    <row r="105" spans="1:3" x14ac:dyDescent="0.2">
      <c r="A105" s="10" t="s">
        <v>410</v>
      </c>
      <c r="B105" s="10" t="s">
        <v>409</v>
      </c>
      <c r="C105" s="10" t="s">
        <v>408</v>
      </c>
    </row>
    <row r="106" spans="1:3" x14ac:dyDescent="0.2">
      <c r="A106" s="10" t="s">
        <v>404</v>
      </c>
      <c r="B106" s="10" t="s">
        <v>403</v>
      </c>
      <c r="C106" s="10" t="s">
        <v>402</v>
      </c>
    </row>
    <row r="107" spans="1:3" x14ac:dyDescent="0.2">
      <c r="A107" s="10" t="s">
        <v>398</v>
      </c>
      <c r="B107" s="10" t="s">
        <v>398</v>
      </c>
      <c r="C107" s="10" t="s">
        <v>397</v>
      </c>
    </row>
    <row r="108" spans="1:3" x14ac:dyDescent="0.2">
      <c r="A108" s="10" t="s">
        <v>390</v>
      </c>
      <c r="B108" s="10" t="s">
        <v>390</v>
      </c>
      <c r="C108" s="10" t="s">
        <v>389</v>
      </c>
    </row>
    <row r="109" spans="1:3" x14ac:dyDescent="0.2">
      <c r="A109" s="10" t="s">
        <v>382</v>
      </c>
      <c r="B109" s="10" t="s">
        <v>382</v>
      </c>
      <c r="C109" s="10" t="s">
        <v>381</v>
      </c>
    </row>
    <row r="110" spans="1:3" x14ac:dyDescent="0.2">
      <c r="A110" s="10" t="s">
        <v>401</v>
      </c>
      <c r="B110" s="10" t="s">
        <v>400</v>
      </c>
      <c r="C110" s="10" t="s">
        <v>399</v>
      </c>
    </row>
    <row r="111" spans="1:3" x14ac:dyDescent="0.2">
      <c r="A111" s="10" t="s">
        <v>380</v>
      </c>
      <c r="B111" s="10" t="s">
        <v>380</v>
      </c>
      <c r="C111" s="10" t="s">
        <v>379</v>
      </c>
    </row>
    <row r="112" spans="1:3" x14ac:dyDescent="0.2">
      <c r="A112" s="10" t="s">
        <v>376</v>
      </c>
      <c r="B112" s="10" t="s">
        <v>375</v>
      </c>
      <c r="C112" s="10" t="s">
        <v>374</v>
      </c>
    </row>
    <row r="113" spans="1:3" x14ac:dyDescent="0.2">
      <c r="A113" s="10" t="s">
        <v>373</v>
      </c>
      <c r="B113" s="10" t="s">
        <v>372</v>
      </c>
      <c r="C113" s="10" t="s">
        <v>371</v>
      </c>
    </row>
    <row r="114" spans="1:3" x14ac:dyDescent="0.2">
      <c r="A114" s="10" t="s">
        <v>378</v>
      </c>
      <c r="B114" s="10" t="s">
        <v>378</v>
      </c>
      <c r="C114" s="10" t="s">
        <v>377</v>
      </c>
    </row>
    <row r="115" spans="1:3" x14ac:dyDescent="0.2">
      <c r="A115" s="10" t="s">
        <v>370</v>
      </c>
      <c r="B115" s="10" t="s">
        <v>370</v>
      </c>
      <c r="C115" s="10" t="s">
        <v>369</v>
      </c>
    </row>
    <row r="116" spans="1:3" x14ac:dyDescent="0.2">
      <c r="A116" s="10" t="s">
        <v>368</v>
      </c>
      <c r="B116" s="10" t="s">
        <v>367</v>
      </c>
      <c r="C116" s="10" t="s">
        <v>366</v>
      </c>
    </row>
    <row r="117" spans="1:3" x14ac:dyDescent="0.2">
      <c r="A117" s="10" t="s">
        <v>365</v>
      </c>
      <c r="B117" s="10" t="s">
        <v>365</v>
      </c>
      <c r="C117" s="10" t="s">
        <v>364</v>
      </c>
    </row>
    <row r="118" spans="1:3" x14ac:dyDescent="0.2">
      <c r="A118" s="10" t="s">
        <v>363</v>
      </c>
      <c r="B118" s="730" t="s">
        <v>362</v>
      </c>
      <c r="C118" s="10" t="s">
        <v>361</v>
      </c>
    </row>
    <row r="119" spans="1:3" x14ac:dyDescent="0.2">
      <c r="A119" s="10" t="s">
        <v>360</v>
      </c>
      <c r="B119" s="730" t="s">
        <v>359</v>
      </c>
      <c r="C119" s="10" t="s">
        <v>358</v>
      </c>
    </row>
    <row r="120" spans="1:3" x14ac:dyDescent="0.2">
      <c r="A120" s="10" t="s">
        <v>357</v>
      </c>
      <c r="B120" s="10" t="s">
        <v>357</v>
      </c>
      <c r="C120" s="10" t="s">
        <v>356</v>
      </c>
    </row>
    <row r="121" spans="1:3" x14ac:dyDescent="0.2">
      <c r="A121" s="10" t="s">
        <v>355</v>
      </c>
      <c r="B121" s="10" t="s">
        <v>354</v>
      </c>
      <c r="C121" s="10" t="s">
        <v>353</v>
      </c>
    </row>
    <row r="122" spans="1:3" x14ac:dyDescent="0.2">
      <c r="A122" s="10" t="s">
        <v>352</v>
      </c>
      <c r="B122" s="10" t="s">
        <v>352</v>
      </c>
      <c r="C122" s="10" t="s">
        <v>351</v>
      </c>
    </row>
    <row r="123" spans="1:3" x14ac:dyDescent="0.2">
      <c r="A123" s="10" t="s">
        <v>350</v>
      </c>
      <c r="B123" s="10" t="s">
        <v>350</v>
      </c>
      <c r="C123" s="10" t="s">
        <v>349</v>
      </c>
    </row>
    <row r="124" spans="1:3" x14ac:dyDescent="0.2">
      <c r="A124" s="10" t="s">
        <v>348</v>
      </c>
      <c r="B124" s="10" t="s">
        <v>347</v>
      </c>
      <c r="C124" s="10" t="s">
        <v>346</v>
      </c>
    </row>
    <row r="125" spans="1:3" x14ac:dyDescent="0.2">
      <c r="A125" s="10" t="s">
        <v>345</v>
      </c>
      <c r="B125" s="10" t="s">
        <v>345</v>
      </c>
      <c r="C125" s="10" t="s">
        <v>344</v>
      </c>
    </row>
    <row r="126" spans="1:3" x14ac:dyDescent="0.2">
      <c r="A126" s="10" t="s">
        <v>343</v>
      </c>
      <c r="B126" s="730" t="s">
        <v>343</v>
      </c>
      <c r="C126" s="10" t="s">
        <v>342</v>
      </c>
    </row>
    <row r="127" spans="1:3" x14ac:dyDescent="0.2">
      <c r="A127" s="10" t="s">
        <v>338</v>
      </c>
      <c r="B127" s="10" t="s">
        <v>337</v>
      </c>
      <c r="C127" s="10" t="s">
        <v>336</v>
      </c>
    </row>
    <row r="128" spans="1:3" x14ac:dyDescent="0.2">
      <c r="A128" s="10" t="s">
        <v>335</v>
      </c>
      <c r="B128" s="10" t="s">
        <v>334</v>
      </c>
      <c r="C128" s="10" t="s">
        <v>333</v>
      </c>
    </row>
    <row r="129" spans="1:3" x14ac:dyDescent="0.2">
      <c r="A129" s="10" t="s">
        <v>332</v>
      </c>
      <c r="B129" s="10" t="s">
        <v>332</v>
      </c>
      <c r="C129" s="10" t="s">
        <v>331</v>
      </c>
    </row>
    <row r="130" spans="1:3" x14ac:dyDescent="0.2">
      <c r="A130" s="10" t="s">
        <v>330</v>
      </c>
      <c r="B130" s="10" t="s">
        <v>330</v>
      </c>
      <c r="C130" s="10" t="s">
        <v>329</v>
      </c>
    </row>
    <row r="131" spans="1:3" x14ac:dyDescent="0.2">
      <c r="A131" s="10" t="s">
        <v>325</v>
      </c>
      <c r="B131" s="10" t="s">
        <v>325</v>
      </c>
      <c r="C131" s="10" t="s">
        <v>324</v>
      </c>
    </row>
    <row r="132" spans="1:3" x14ac:dyDescent="0.2">
      <c r="A132" s="10" t="s">
        <v>323</v>
      </c>
      <c r="B132" s="10" t="s">
        <v>322</v>
      </c>
      <c r="C132" s="10" t="s">
        <v>321</v>
      </c>
    </row>
    <row r="133" spans="1:3" x14ac:dyDescent="0.2">
      <c r="A133" s="10" t="s">
        <v>320</v>
      </c>
      <c r="B133" s="10" t="s">
        <v>319</v>
      </c>
      <c r="C133" s="10" t="s">
        <v>318</v>
      </c>
    </row>
    <row r="134" spans="1:3" x14ac:dyDescent="0.2">
      <c r="A134" s="10" t="s">
        <v>317</v>
      </c>
      <c r="B134" s="10" t="s">
        <v>317</v>
      </c>
      <c r="C134" s="10" t="s">
        <v>316</v>
      </c>
    </row>
    <row r="135" spans="1:3" x14ac:dyDescent="0.2">
      <c r="A135" s="10" t="s">
        <v>315</v>
      </c>
      <c r="B135" s="10" t="s">
        <v>314</v>
      </c>
      <c r="C135" s="10" t="s">
        <v>313</v>
      </c>
    </row>
    <row r="136" spans="1:3" x14ac:dyDescent="0.2">
      <c r="A136" s="10" t="s">
        <v>312</v>
      </c>
      <c r="B136" s="10" t="s">
        <v>312</v>
      </c>
      <c r="C136" s="10" t="s">
        <v>311</v>
      </c>
    </row>
    <row r="137" spans="1:3" x14ac:dyDescent="0.2">
      <c r="A137" s="10" t="s">
        <v>310</v>
      </c>
      <c r="B137" s="10" t="s">
        <v>310</v>
      </c>
      <c r="C137" s="10" t="s">
        <v>309</v>
      </c>
    </row>
    <row r="138" spans="1:3" x14ac:dyDescent="0.2">
      <c r="A138" s="10" t="s">
        <v>341</v>
      </c>
      <c r="B138" s="10" t="s">
        <v>340</v>
      </c>
      <c r="C138" s="10" t="s">
        <v>339</v>
      </c>
    </row>
    <row r="139" spans="1:3" x14ac:dyDescent="0.2">
      <c r="A139" s="10" t="s">
        <v>308</v>
      </c>
      <c r="B139" s="10" t="s">
        <v>307</v>
      </c>
      <c r="C139" s="10" t="s">
        <v>306</v>
      </c>
    </row>
    <row r="140" spans="1:3" x14ac:dyDescent="0.2">
      <c r="A140" s="10" t="s">
        <v>305</v>
      </c>
      <c r="B140" s="10" t="s">
        <v>305</v>
      </c>
      <c r="C140" s="10" t="s">
        <v>304</v>
      </c>
    </row>
    <row r="141" spans="1:3" x14ac:dyDescent="0.2">
      <c r="A141" s="10" t="s">
        <v>303</v>
      </c>
      <c r="B141" s="10" t="s">
        <v>303</v>
      </c>
      <c r="C141" s="10" t="s">
        <v>302</v>
      </c>
    </row>
    <row r="142" spans="1:3" x14ac:dyDescent="0.2">
      <c r="A142" s="10" t="s">
        <v>301</v>
      </c>
      <c r="B142" s="10" t="s">
        <v>301</v>
      </c>
      <c r="C142" s="10" t="s">
        <v>300</v>
      </c>
    </row>
    <row r="143" spans="1:3" x14ac:dyDescent="0.2">
      <c r="A143" s="10" t="s">
        <v>299</v>
      </c>
      <c r="B143" s="10" t="s">
        <v>299</v>
      </c>
      <c r="C143" s="10" t="s">
        <v>298</v>
      </c>
    </row>
    <row r="144" spans="1:3" x14ac:dyDescent="0.2">
      <c r="A144" s="10" t="s">
        <v>283</v>
      </c>
      <c r="B144" s="730" t="s">
        <v>282</v>
      </c>
      <c r="C144" s="10" t="s">
        <v>281</v>
      </c>
    </row>
    <row r="145" spans="1:3" x14ac:dyDescent="0.2">
      <c r="A145" s="10" t="s">
        <v>280</v>
      </c>
      <c r="B145" s="10" t="s">
        <v>279</v>
      </c>
      <c r="C145" s="10" t="s">
        <v>278</v>
      </c>
    </row>
    <row r="146" spans="1:3" x14ac:dyDescent="0.2">
      <c r="A146" s="10" t="s">
        <v>297</v>
      </c>
      <c r="B146" s="10" t="s">
        <v>296</v>
      </c>
      <c r="C146" s="10" t="s">
        <v>295</v>
      </c>
    </row>
    <row r="147" spans="1:3" x14ac:dyDescent="0.2">
      <c r="A147" s="10" t="s">
        <v>294</v>
      </c>
      <c r="B147" s="10" t="s">
        <v>293</v>
      </c>
      <c r="C147" s="10" t="s">
        <v>292</v>
      </c>
    </row>
    <row r="148" spans="1:3" x14ac:dyDescent="0.2">
      <c r="A148" s="10" t="s">
        <v>291</v>
      </c>
      <c r="B148" s="10" t="s">
        <v>290</v>
      </c>
      <c r="C148" s="10" t="s">
        <v>289</v>
      </c>
    </row>
    <row r="149" spans="1:3" x14ac:dyDescent="0.2">
      <c r="A149" s="10" t="s">
        <v>288</v>
      </c>
      <c r="B149" s="10" t="s">
        <v>288</v>
      </c>
      <c r="C149" s="10" t="s">
        <v>287</v>
      </c>
    </row>
    <row r="150" spans="1:3" x14ac:dyDescent="0.2">
      <c r="A150" s="10" t="s">
        <v>277</v>
      </c>
      <c r="B150" s="10" t="s">
        <v>277</v>
      </c>
      <c r="C150" s="10" t="s">
        <v>276</v>
      </c>
    </row>
    <row r="151" spans="1:3" x14ac:dyDescent="0.2">
      <c r="A151" s="10" t="s">
        <v>275</v>
      </c>
      <c r="B151" s="10" t="s">
        <v>275</v>
      </c>
      <c r="C151" s="10" t="s">
        <v>274</v>
      </c>
    </row>
    <row r="152" spans="1:3" x14ac:dyDescent="0.2">
      <c r="A152" s="10" t="s">
        <v>273</v>
      </c>
      <c r="B152" s="10" t="s">
        <v>272</v>
      </c>
      <c r="C152" s="10" t="s">
        <v>271</v>
      </c>
    </row>
    <row r="153" spans="1:3" x14ac:dyDescent="0.2">
      <c r="A153" s="10" t="s">
        <v>270</v>
      </c>
      <c r="B153" s="10" t="s">
        <v>269</v>
      </c>
      <c r="C153" s="10" t="s">
        <v>268</v>
      </c>
    </row>
    <row r="154" spans="1:3" x14ac:dyDescent="0.2">
      <c r="A154" s="10" t="s">
        <v>267</v>
      </c>
      <c r="B154" s="10" t="s">
        <v>266</v>
      </c>
      <c r="C154" s="10" t="s">
        <v>265</v>
      </c>
    </row>
    <row r="155" spans="1:3" x14ac:dyDescent="0.2">
      <c r="A155" s="10" t="s">
        <v>264</v>
      </c>
      <c r="B155" s="10" t="s">
        <v>264</v>
      </c>
      <c r="C155" s="10" t="s">
        <v>263</v>
      </c>
    </row>
    <row r="156" spans="1:3" x14ac:dyDescent="0.2">
      <c r="A156" s="10" t="s">
        <v>259</v>
      </c>
      <c r="B156" s="10" t="s">
        <v>259</v>
      </c>
      <c r="C156" s="10" t="s">
        <v>258</v>
      </c>
    </row>
    <row r="157" spans="1:3" x14ac:dyDescent="0.2">
      <c r="A157" s="10" t="s">
        <v>257</v>
      </c>
      <c r="B157" s="10" t="s">
        <v>257</v>
      </c>
      <c r="C157" s="10" t="s">
        <v>256</v>
      </c>
    </row>
    <row r="158" spans="1:3" x14ac:dyDescent="0.2">
      <c r="A158" s="10" t="s">
        <v>255</v>
      </c>
      <c r="B158" s="10" t="s">
        <v>255</v>
      </c>
      <c r="C158" s="10" t="s">
        <v>254</v>
      </c>
    </row>
    <row r="159" spans="1:3" x14ac:dyDescent="0.2">
      <c r="A159" s="10" t="s">
        <v>253</v>
      </c>
      <c r="B159" s="10" t="s">
        <v>252</v>
      </c>
      <c r="C159" s="10" t="s">
        <v>251</v>
      </c>
    </row>
    <row r="160" spans="1:3" x14ac:dyDescent="0.2">
      <c r="A160" s="10" t="s">
        <v>250</v>
      </c>
      <c r="B160" s="10" t="s">
        <v>250</v>
      </c>
      <c r="C160" s="10" t="s">
        <v>249</v>
      </c>
    </row>
    <row r="161" spans="1:3" x14ac:dyDescent="0.2">
      <c r="A161" s="10" t="s">
        <v>248</v>
      </c>
      <c r="B161" s="10" t="s">
        <v>248</v>
      </c>
      <c r="C161" s="10" t="s">
        <v>247</v>
      </c>
    </row>
    <row r="162" spans="1:3" x14ac:dyDescent="0.2">
      <c r="A162" s="10" t="s">
        <v>246</v>
      </c>
      <c r="B162" s="10" t="s">
        <v>245</v>
      </c>
      <c r="C162" s="10" t="s">
        <v>244</v>
      </c>
    </row>
    <row r="163" spans="1:3" x14ac:dyDescent="0.2">
      <c r="A163" s="10" t="s">
        <v>243</v>
      </c>
      <c r="B163" s="10" t="s">
        <v>243</v>
      </c>
      <c r="C163" s="10" t="s">
        <v>242</v>
      </c>
    </row>
    <row r="164" spans="1:3" x14ac:dyDescent="0.2">
      <c r="A164" s="10" t="s">
        <v>238</v>
      </c>
      <c r="B164" s="730" t="s">
        <v>237</v>
      </c>
      <c r="C164" s="10" t="s">
        <v>236</v>
      </c>
    </row>
    <row r="165" spans="1:3" x14ac:dyDescent="0.2">
      <c r="A165" s="10" t="s">
        <v>241</v>
      </c>
      <c r="B165" s="10" t="s">
        <v>240</v>
      </c>
      <c r="C165" s="10" t="s">
        <v>239</v>
      </c>
    </row>
    <row r="166" spans="1:3" x14ac:dyDescent="0.2">
      <c r="A166" s="10" t="s">
        <v>235</v>
      </c>
      <c r="B166" s="730" t="s">
        <v>235</v>
      </c>
      <c r="C166" s="10" t="s">
        <v>234</v>
      </c>
    </row>
    <row r="167" spans="1:3" x14ac:dyDescent="0.2">
      <c r="A167" s="10" t="s">
        <v>407</v>
      </c>
      <c r="B167" s="10" t="s">
        <v>406</v>
      </c>
      <c r="C167" s="10" t="s">
        <v>405</v>
      </c>
    </row>
    <row r="168" spans="1:3" x14ac:dyDescent="0.2">
      <c r="A168" s="10" t="s">
        <v>233</v>
      </c>
      <c r="B168" s="10" t="s">
        <v>232</v>
      </c>
      <c r="C168" s="10" t="s">
        <v>231</v>
      </c>
    </row>
    <row r="169" spans="1:3" x14ac:dyDescent="0.2">
      <c r="A169" s="10" t="s">
        <v>230</v>
      </c>
      <c r="B169" s="10" t="s">
        <v>229</v>
      </c>
      <c r="C169" s="10" t="s">
        <v>228</v>
      </c>
    </row>
    <row r="170" spans="1:3" x14ac:dyDescent="0.2">
      <c r="A170" s="10" t="s">
        <v>224</v>
      </c>
      <c r="B170" s="730" t="s">
        <v>223</v>
      </c>
      <c r="C170" s="10" t="s">
        <v>222</v>
      </c>
    </row>
    <row r="171" spans="1:3" x14ac:dyDescent="0.2">
      <c r="A171" s="10" t="s">
        <v>221</v>
      </c>
      <c r="B171" s="10" t="s">
        <v>220</v>
      </c>
      <c r="C171" s="10" t="s">
        <v>219</v>
      </c>
    </row>
    <row r="172" spans="1:3" x14ac:dyDescent="0.2">
      <c r="A172" s="10" t="s">
        <v>227</v>
      </c>
      <c r="B172" s="10" t="s">
        <v>226</v>
      </c>
      <c r="C172" s="10" t="s">
        <v>225</v>
      </c>
    </row>
    <row r="173" spans="1:3" x14ac:dyDescent="0.2">
      <c r="A173" s="10" t="s">
        <v>212</v>
      </c>
      <c r="B173" s="10" t="s">
        <v>212</v>
      </c>
      <c r="C173" s="10" t="s">
        <v>211</v>
      </c>
    </row>
    <row r="174" spans="1:3" x14ac:dyDescent="0.2">
      <c r="A174" s="10" t="s">
        <v>210</v>
      </c>
      <c r="B174" s="10" t="s">
        <v>210</v>
      </c>
      <c r="C174" s="10" t="s">
        <v>209</v>
      </c>
    </row>
    <row r="175" spans="1:3" x14ac:dyDescent="0.2">
      <c r="A175" s="10" t="s">
        <v>208</v>
      </c>
      <c r="B175" s="10" t="s">
        <v>207</v>
      </c>
      <c r="C175" s="10" t="s">
        <v>206</v>
      </c>
    </row>
    <row r="176" spans="1:3" x14ac:dyDescent="0.2">
      <c r="A176" s="10" t="s">
        <v>205</v>
      </c>
      <c r="B176" s="10" t="s">
        <v>204</v>
      </c>
      <c r="C176" s="10" t="s">
        <v>203</v>
      </c>
    </row>
    <row r="177" spans="1:3" x14ac:dyDescent="0.2">
      <c r="A177" s="10" t="s">
        <v>196</v>
      </c>
      <c r="B177" s="10" t="s">
        <v>196</v>
      </c>
      <c r="C177" s="10" t="s">
        <v>195</v>
      </c>
    </row>
    <row r="178" spans="1:3" x14ac:dyDescent="0.2">
      <c r="A178" s="10" t="s">
        <v>194</v>
      </c>
      <c r="B178" s="10" t="s">
        <v>193</v>
      </c>
      <c r="C178" s="10" t="s">
        <v>192</v>
      </c>
    </row>
    <row r="179" spans="1:3" x14ac:dyDescent="0.2">
      <c r="A179" s="10" t="s">
        <v>191</v>
      </c>
      <c r="B179" s="10" t="s">
        <v>190</v>
      </c>
      <c r="C179" s="10" t="s">
        <v>189</v>
      </c>
    </row>
    <row r="180" spans="1:3" x14ac:dyDescent="0.2">
      <c r="A180" s="10" t="s">
        <v>188</v>
      </c>
      <c r="B180" s="10" t="s">
        <v>188</v>
      </c>
      <c r="C180" s="10" t="s">
        <v>187</v>
      </c>
    </row>
    <row r="181" spans="1:3" x14ac:dyDescent="0.2">
      <c r="A181" s="10" t="s">
        <v>183</v>
      </c>
      <c r="B181" s="10" t="s">
        <v>182</v>
      </c>
      <c r="C181" s="10" t="s">
        <v>181</v>
      </c>
    </row>
    <row r="182" spans="1:3" x14ac:dyDescent="0.2">
      <c r="A182" s="10" t="s">
        <v>180</v>
      </c>
      <c r="B182" s="730" t="s">
        <v>179</v>
      </c>
      <c r="C182" s="10" t="s">
        <v>178</v>
      </c>
    </row>
    <row r="183" spans="1:3" x14ac:dyDescent="0.2">
      <c r="A183" s="10" t="s">
        <v>177</v>
      </c>
      <c r="B183" s="730" t="s">
        <v>176</v>
      </c>
      <c r="C183" s="10" t="s">
        <v>175</v>
      </c>
    </row>
    <row r="184" spans="1:3" x14ac:dyDescent="0.2">
      <c r="A184" s="10" t="s">
        <v>218</v>
      </c>
      <c r="B184" s="10" t="s">
        <v>217</v>
      </c>
      <c r="C184" s="10" t="s">
        <v>216</v>
      </c>
    </row>
    <row r="185" spans="1:3" x14ac:dyDescent="0.2">
      <c r="A185" s="10" t="s">
        <v>174</v>
      </c>
      <c r="B185" s="10" t="s">
        <v>174</v>
      </c>
      <c r="C185" s="10" t="s">
        <v>173</v>
      </c>
    </row>
    <row r="186" spans="1:3" x14ac:dyDescent="0.2">
      <c r="A186" s="10" t="s">
        <v>155</v>
      </c>
      <c r="B186" s="10" t="s">
        <v>154</v>
      </c>
      <c r="C186" s="10" t="s">
        <v>153</v>
      </c>
    </row>
    <row r="187" spans="1:3" x14ac:dyDescent="0.2">
      <c r="A187" s="10" t="s">
        <v>150</v>
      </c>
      <c r="B187" s="10" t="s">
        <v>149</v>
      </c>
      <c r="C187" s="10" t="s">
        <v>148</v>
      </c>
    </row>
    <row r="188" spans="1:3" x14ac:dyDescent="0.2">
      <c r="A188" s="10" t="s">
        <v>172</v>
      </c>
      <c r="B188" s="730" t="s">
        <v>171</v>
      </c>
      <c r="C188" s="10" t="s">
        <v>170</v>
      </c>
    </row>
    <row r="189" spans="1:3" x14ac:dyDescent="0.2">
      <c r="A189" s="10" t="s">
        <v>169</v>
      </c>
      <c r="B189" s="10" t="s">
        <v>169</v>
      </c>
      <c r="C189" s="10" t="s">
        <v>168</v>
      </c>
    </row>
    <row r="190" spans="1:3" x14ac:dyDescent="0.2">
      <c r="A190" s="10" t="s">
        <v>167</v>
      </c>
      <c r="B190" s="10" t="s">
        <v>167</v>
      </c>
      <c r="C190" s="10" t="s">
        <v>166</v>
      </c>
    </row>
    <row r="191" spans="1:3" x14ac:dyDescent="0.2">
      <c r="A191" s="10" t="s">
        <v>165</v>
      </c>
      <c r="B191" s="10" t="s">
        <v>164</v>
      </c>
      <c r="C191" s="10" t="s">
        <v>163</v>
      </c>
    </row>
    <row r="192" spans="1:3" x14ac:dyDescent="0.2">
      <c r="A192" s="10" t="s">
        <v>162</v>
      </c>
      <c r="B192" s="10" t="s">
        <v>162</v>
      </c>
      <c r="C192" s="10" t="s">
        <v>161</v>
      </c>
    </row>
    <row r="193" spans="1:3" x14ac:dyDescent="0.2">
      <c r="A193" s="10" t="s">
        <v>160</v>
      </c>
      <c r="B193" s="10" t="s">
        <v>159</v>
      </c>
      <c r="C193" s="10" t="s">
        <v>158</v>
      </c>
    </row>
    <row r="194" spans="1:3" x14ac:dyDescent="0.2">
      <c r="A194" s="10" t="s">
        <v>157</v>
      </c>
      <c r="B194" s="10" t="s">
        <v>157</v>
      </c>
      <c r="C194" s="10" t="s">
        <v>156</v>
      </c>
    </row>
    <row r="195" spans="1:3" x14ac:dyDescent="0.2">
      <c r="A195" s="10" t="s">
        <v>152</v>
      </c>
      <c r="B195" s="10" t="s">
        <v>152</v>
      </c>
      <c r="C195" s="10" t="s">
        <v>151</v>
      </c>
    </row>
    <row r="196" spans="1:3" x14ac:dyDescent="0.2">
      <c r="A196" s="10" t="s">
        <v>147</v>
      </c>
      <c r="B196" s="10" t="s">
        <v>147</v>
      </c>
      <c r="C196" s="10" t="s">
        <v>146</v>
      </c>
    </row>
    <row r="197" spans="1:3" x14ac:dyDescent="0.2">
      <c r="A197" s="10" t="s">
        <v>145</v>
      </c>
      <c r="B197" s="10" t="s">
        <v>144</v>
      </c>
      <c r="C197" s="10" t="s">
        <v>143</v>
      </c>
    </row>
    <row r="198" spans="1:3" x14ac:dyDescent="0.2">
      <c r="A198" s="10" t="s">
        <v>202</v>
      </c>
      <c r="B198" s="730" t="s">
        <v>201</v>
      </c>
      <c r="C198" s="10" t="s">
        <v>200</v>
      </c>
    </row>
    <row r="199" spans="1:3" x14ac:dyDescent="0.2">
      <c r="A199" s="10" t="s">
        <v>199</v>
      </c>
      <c r="B199" s="10" t="s">
        <v>198</v>
      </c>
      <c r="C199" s="10" t="s">
        <v>197</v>
      </c>
    </row>
    <row r="200" spans="1:3" x14ac:dyDescent="0.2">
      <c r="A200" s="10" t="s">
        <v>142</v>
      </c>
      <c r="B200" s="10" t="s">
        <v>141</v>
      </c>
      <c r="C200" s="10" t="s">
        <v>140</v>
      </c>
    </row>
    <row r="201" spans="1:3" x14ac:dyDescent="0.2">
      <c r="A201" s="10" t="s">
        <v>136</v>
      </c>
      <c r="B201" s="10" t="s">
        <v>136</v>
      </c>
      <c r="C201" s="10" t="s">
        <v>135</v>
      </c>
    </row>
    <row r="202" spans="1:3" x14ac:dyDescent="0.2">
      <c r="A202" s="10" t="s">
        <v>139</v>
      </c>
      <c r="B202" s="10" t="s">
        <v>138</v>
      </c>
      <c r="C202" s="10" t="s">
        <v>137</v>
      </c>
    </row>
    <row r="203" spans="1:3" x14ac:dyDescent="0.2">
      <c r="A203" s="10" t="s">
        <v>134</v>
      </c>
      <c r="B203" s="10" t="s">
        <v>134</v>
      </c>
      <c r="C203" s="10" t="s">
        <v>133</v>
      </c>
    </row>
    <row r="204" spans="1:3" x14ac:dyDescent="0.2">
      <c r="A204" s="10" t="s">
        <v>132</v>
      </c>
      <c r="B204" s="10" t="s">
        <v>132</v>
      </c>
      <c r="C204" s="10" t="s">
        <v>131</v>
      </c>
    </row>
    <row r="205" spans="1:3" x14ac:dyDescent="0.2">
      <c r="A205" s="10" t="s">
        <v>130</v>
      </c>
      <c r="B205" s="10" t="s">
        <v>130</v>
      </c>
      <c r="C205" s="10" t="s">
        <v>129</v>
      </c>
    </row>
    <row r="206" spans="1:3" x14ac:dyDescent="0.2">
      <c r="A206" s="10" t="s">
        <v>128</v>
      </c>
      <c r="B206" s="10" t="s">
        <v>128</v>
      </c>
      <c r="C206" s="10" t="s">
        <v>127</v>
      </c>
    </row>
    <row r="207" spans="1:3" x14ac:dyDescent="0.2">
      <c r="A207" s="10" t="s">
        <v>126</v>
      </c>
      <c r="B207" s="10" t="s">
        <v>125</v>
      </c>
      <c r="C207" s="10" t="s">
        <v>124</v>
      </c>
    </row>
    <row r="208" spans="1:3" x14ac:dyDescent="0.2">
      <c r="A208" s="10" t="s">
        <v>117</v>
      </c>
      <c r="B208" s="10" t="s">
        <v>116</v>
      </c>
      <c r="C208" s="10" t="s">
        <v>115</v>
      </c>
    </row>
    <row r="209" spans="1:3" x14ac:dyDescent="0.2">
      <c r="A209" s="10" t="s">
        <v>114</v>
      </c>
      <c r="B209" s="10" t="s">
        <v>113</v>
      </c>
      <c r="C209" s="10" t="s">
        <v>112</v>
      </c>
    </row>
    <row r="210" spans="1:3" x14ac:dyDescent="0.2">
      <c r="A210" s="10" t="s">
        <v>111</v>
      </c>
      <c r="B210" s="10" t="s">
        <v>111</v>
      </c>
      <c r="C210" s="10" t="s">
        <v>110</v>
      </c>
    </row>
    <row r="211" spans="1:3" x14ac:dyDescent="0.2">
      <c r="A211" s="10" t="s">
        <v>109</v>
      </c>
      <c r="B211" s="10" t="s">
        <v>108</v>
      </c>
      <c r="C211" s="10" t="s">
        <v>107</v>
      </c>
    </row>
    <row r="212" spans="1:3" x14ac:dyDescent="0.2">
      <c r="A212" s="10" t="s">
        <v>106</v>
      </c>
      <c r="B212" s="10" t="s">
        <v>106</v>
      </c>
      <c r="C212" s="10" t="s">
        <v>105</v>
      </c>
    </row>
    <row r="213" spans="1:3" x14ac:dyDescent="0.2">
      <c r="A213" s="10" t="s">
        <v>104</v>
      </c>
      <c r="B213" s="10" t="s">
        <v>104</v>
      </c>
      <c r="C213" s="10" t="s">
        <v>103</v>
      </c>
    </row>
    <row r="214" spans="1:3" x14ac:dyDescent="0.2">
      <c r="A214" s="10" t="s">
        <v>102</v>
      </c>
      <c r="B214" s="10" t="s">
        <v>102</v>
      </c>
      <c r="C214" s="10" t="s">
        <v>101</v>
      </c>
    </row>
    <row r="215" spans="1:3" x14ac:dyDescent="0.2">
      <c r="A215" s="10" t="s">
        <v>286</v>
      </c>
      <c r="B215" s="10" t="s">
        <v>285</v>
      </c>
      <c r="C215" s="10" t="s">
        <v>284</v>
      </c>
    </row>
    <row r="216" spans="1:3" x14ac:dyDescent="0.2">
      <c r="A216" s="10" t="s">
        <v>85</v>
      </c>
      <c r="B216" s="10" t="s">
        <v>84</v>
      </c>
      <c r="C216" s="10" t="s">
        <v>83</v>
      </c>
    </row>
    <row r="217" spans="1:3" x14ac:dyDescent="0.2">
      <c r="A217" s="10" t="s">
        <v>82</v>
      </c>
      <c r="B217" s="10" t="s">
        <v>81</v>
      </c>
      <c r="C217" s="10" t="s">
        <v>80</v>
      </c>
    </row>
    <row r="218" spans="1:3" x14ac:dyDescent="0.2">
      <c r="A218" s="10" t="s">
        <v>79</v>
      </c>
      <c r="B218" s="10" t="s">
        <v>78</v>
      </c>
      <c r="C218" s="10" t="s">
        <v>77</v>
      </c>
    </row>
    <row r="219" spans="1:3" x14ac:dyDescent="0.2">
      <c r="A219" s="10" t="s">
        <v>97</v>
      </c>
      <c r="B219" s="10" t="s">
        <v>97</v>
      </c>
      <c r="C219" s="10" t="s">
        <v>96</v>
      </c>
    </row>
    <row r="220" spans="1:3" x14ac:dyDescent="0.2">
      <c r="A220" s="10" t="s">
        <v>643</v>
      </c>
      <c r="B220" s="10" t="s">
        <v>642</v>
      </c>
      <c r="C220" s="10" t="s">
        <v>641</v>
      </c>
    </row>
    <row r="221" spans="1:3" x14ac:dyDescent="0.2">
      <c r="A221" s="10" t="s">
        <v>95</v>
      </c>
      <c r="B221" s="10" t="s">
        <v>94</v>
      </c>
      <c r="C221" s="10" t="s">
        <v>93</v>
      </c>
    </row>
    <row r="222" spans="1:3" x14ac:dyDescent="0.2">
      <c r="A222" s="10" t="s">
        <v>92</v>
      </c>
      <c r="B222" s="10" t="s">
        <v>92</v>
      </c>
      <c r="C222" s="10" t="s">
        <v>91</v>
      </c>
    </row>
    <row r="223" spans="1:3" x14ac:dyDescent="0.2">
      <c r="A223" s="10" t="s">
        <v>90</v>
      </c>
      <c r="B223" s="10" t="s">
        <v>89</v>
      </c>
      <c r="C223" s="10" t="s">
        <v>88</v>
      </c>
    </row>
    <row r="224" spans="1:3" x14ac:dyDescent="0.2">
      <c r="A224" s="10" t="s">
        <v>87</v>
      </c>
      <c r="B224" s="10" t="s">
        <v>87</v>
      </c>
      <c r="C224" s="10" t="s">
        <v>86</v>
      </c>
    </row>
    <row r="225" spans="1:3" x14ac:dyDescent="0.2">
      <c r="A225" s="10" t="s">
        <v>76</v>
      </c>
      <c r="B225" s="10" t="s">
        <v>76</v>
      </c>
      <c r="C225" s="10" t="s">
        <v>75</v>
      </c>
    </row>
    <row r="226" spans="1:3" x14ac:dyDescent="0.2">
      <c r="A226" s="10" t="s">
        <v>74</v>
      </c>
      <c r="B226" s="10" t="s">
        <v>73</v>
      </c>
      <c r="C226" s="10" t="s">
        <v>72</v>
      </c>
    </row>
    <row r="227" spans="1:3" x14ac:dyDescent="0.2">
      <c r="A227" s="10" t="s">
        <v>68</v>
      </c>
      <c r="B227" s="10" t="s">
        <v>67</v>
      </c>
      <c r="C227" s="10" t="s">
        <v>66</v>
      </c>
    </row>
    <row r="228" spans="1:3" x14ac:dyDescent="0.2">
      <c r="A228" s="10" t="s">
        <v>434</v>
      </c>
      <c r="B228" s="10" t="s">
        <v>433</v>
      </c>
      <c r="C228" s="10" t="s">
        <v>432</v>
      </c>
    </row>
    <row r="229" spans="1:3" x14ac:dyDescent="0.2">
      <c r="A229" s="10" t="s">
        <v>428</v>
      </c>
      <c r="B229" s="10" t="s">
        <v>427</v>
      </c>
      <c r="C229" s="10" t="s">
        <v>426</v>
      </c>
    </row>
    <row r="230" spans="1:3" x14ac:dyDescent="0.2">
      <c r="A230" s="10" t="s">
        <v>215</v>
      </c>
      <c r="B230" s="10" t="s">
        <v>214</v>
      </c>
      <c r="C230" s="10" t="s">
        <v>213</v>
      </c>
    </row>
    <row r="231" spans="1:3" x14ac:dyDescent="0.2">
      <c r="A231" s="10" t="s">
        <v>186</v>
      </c>
      <c r="B231" s="10" t="s">
        <v>185</v>
      </c>
      <c r="C231" s="10" t="s">
        <v>184</v>
      </c>
    </row>
  </sheetData>
  <sheetProtection algorithmName="SHA-512" hashValue="2zbfGju1QbDfEaJufbjqX5xh7ZbJshCW2p2HMNMQtZAuIiyQPdxFipWuh8OEuE6Zf4fkzqXXAb0HStmXnAnjuQ==" saltValue="dvmbMagf/MxFuCESDWheDw==" spinCount="100000" sheet="1" objects="1" scenarios="1"/>
  <sortState xmlns:xlrd2="http://schemas.microsoft.com/office/spreadsheetml/2017/richdata2" ref="A2:C231">
    <sortCondition ref="B2"/>
  </sortState>
  <pageMargins left="0.7" right="0.7" top="0.78740157499999996" bottom="0.78740157499999996" header="0.3" footer="0.3"/>
  <pageSetup paperSize="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B171"/>
  <sheetViews>
    <sheetView topLeftCell="AA1" zoomScale="115" zoomScaleNormal="115" workbookViewId="0">
      <selection activeCell="K6" sqref="K6"/>
    </sheetView>
  </sheetViews>
  <sheetFormatPr baseColWidth="10" defaultRowHeight="15" x14ac:dyDescent="0.25"/>
  <cols>
    <col min="1" max="1" width="43.140625" hidden="1" customWidth="1"/>
    <col min="2" max="2" width="14" style="99" hidden="1" customWidth="1"/>
    <col min="3" max="3" width="42" hidden="1" customWidth="1"/>
    <col min="4" max="4" width="20.85546875" hidden="1" customWidth="1"/>
    <col min="5" max="5" width="13" style="99" hidden="1" customWidth="1"/>
    <col min="6" max="6" width="18" hidden="1" customWidth="1"/>
    <col min="7" max="8" width="21.7109375" hidden="1" customWidth="1"/>
    <col min="9" max="9" width="39.140625" hidden="1" customWidth="1"/>
    <col min="10" max="10" width="41.5703125" hidden="1" customWidth="1"/>
    <col min="11" max="11" width="18.85546875" hidden="1" customWidth="1"/>
    <col min="12" max="12" width="51.7109375" hidden="1" customWidth="1"/>
    <col min="13" max="13" width="14.28515625" hidden="1" customWidth="1"/>
    <col min="14" max="14" width="42.85546875" hidden="1" customWidth="1"/>
    <col min="15" max="15" width="12.140625" hidden="1" customWidth="1"/>
    <col min="16" max="16" width="41.5703125" hidden="1" customWidth="1"/>
    <col min="17" max="17" width="13.140625" hidden="1" customWidth="1"/>
    <col min="18" max="18" width="41.5703125" hidden="1" customWidth="1"/>
    <col min="19" max="19" width="15.7109375" hidden="1" customWidth="1"/>
    <col min="20" max="20" width="41.5703125" hidden="1" customWidth="1"/>
    <col min="21" max="21" width="14.28515625" hidden="1" customWidth="1"/>
    <col min="22" max="22" width="41.5703125" hidden="1" customWidth="1"/>
    <col min="23" max="23" width="15.28515625" hidden="1" customWidth="1"/>
    <col min="24" max="24" width="41.5703125" hidden="1" customWidth="1"/>
    <col min="25" max="26" width="0" hidden="1" customWidth="1"/>
  </cols>
  <sheetData>
    <row r="1" spans="1:28" x14ac:dyDescent="0.25">
      <c r="A1" s="795" t="s">
        <v>1033</v>
      </c>
    </row>
    <row r="2" spans="1:28" x14ac:dyDescent="0.25">
      <c r="A2" s="787" t="s">
        <v>1035</v>
      </c>
      <c r="AB2" t="s">
        <v>1033</v>
      </c>
    </row>
    <row r="3" spans="1:28" ht="15.75" thickBot="1" x14ac:dyDescent="0.3">
      <c r="AB3" t="s">
        <v>1072</v>
      </c>
    </row>
    <row r="4" spans="1:28" x14ac:dyDescent="0.25">
      <c r="A4" s="100"/>
      <c r="B4" s="101"/>
      <c r="C4" s="102"/>
      <c r="D4" s="102"/>
      <c r="E4" s="101"/>
      <c r="F4" s="102"/>
      <c r="G4" s="103"/>
      <c r="H4" s="109"/>
    </row>
    <row r="5" spans="1:28" ht="30" x14ac:dyDescent="0.25">
      <c r="A5" s="104"/>
      <c r="B5" s="105">
        <f>applications!C6</f>
        <v>0</v>
      </c>
      <c r="C5" s="106" t="s">
        <v>705</v>
      </c>
      <c r="D5" s="106" t="s">
        <v>707</v>
      </c>
      <c r="E5" s="105">
        <f>applications!C7</f>
        <v>0</v>
      </c>
      <c r="F5" s="106" t="s">
        <v>705</v>
      </c>
      <c r="G5" s="107" t="s">
        <v>707</v>
      </c>
      <c r="H5" s="106"/>
    </row>
    <row r="6" spans="1:28" x14ac:dyDescent="0.25">
      <c r="A6" s="104"/>
      <c r="B6" s="108"/>
      <c r="C6" s="109"/>
      <c r="D6" s="109"/>
      <c r="E6" s="108"/>
      <c r="F6" s="109"/>
      <c r="G6" s="110"/>
      <c r="H6" s="109"/>
      <c r="J6" s="137" t="s">
        <v>0</v>
      </c>
      <c r="K6" s="137" t="s">
        <v>0</v>
      </c>
      <c r="L6" s="138" t="s">
        <v>1</v>
      </c>
      <c r="M6" s="138" t="s">
        <v>1</v>
      </c>
      <c r="N6" s="137" t="s">
        <v>675</v>
      </c>
      <c r="O6" s="137" t="s">
        <v>675</v>
      </c>
      <c r="P6" s="138" t="s">
        <v>676</v>
      </c>
      <c r="Q6" s="138" t="s">
        <v>676</v>
      </c>
      <c r="R6" s="137" t="s">
        <v>677</v>
      </c>
      <c r="S6" s="137" t="s">
        <v>677</v>
      </c>
      <c r="T6" s="138" t="s">
        <v>679</v>
      </c>
      <c r="U6" s="138" t="s">
        <v>679</v>
      </c>
      <c r="V6" s="137" t="s">
        <v>678</v>
      </c>
      <c r="W6" s="137" t="s">
        <v>678</v>
      </c>
      <c r="X6" s="138" t="s">
        <v>680</v>
      </c>
      <c r="Y6" s="138" t="s">
        <v>680</v>
      </c>
    </row>
    <row r="7" spans="1:28" x14ac:dyDescent="0.25">
      <c r="A7" s="111" t="s">
        <v>2</v>
      </c>
      <c r="B7" s="108">
        <f>applications!B11</f>
        <v>0</v>
      </c>
      <c r="C7" s="109" t="str">
        <f>IF(B7="x",$B$5&amp;A7,"")</f>
        <v/>
      </c>
      <c r="D7" s="109" t="str">
        <f>IF(ISERROR(VLOOKUP(C7,$I$24:$J$152,2,)),"",VLOOKUP(C7,$I$24:$J$152,2,))</f>
        <v/>
      </c>
      <c r="E7" s="108">
        <f>applications!C11</f>
        <v>0</v>
      </c>
      <c r="F7" s="109" t="str">
        <f>IF(E7="x",$E$5&amp;A7,"")</f>
        <v/>
      </c>
      <c r="G7" s="110" t="str">
        <f>IF(ISERROR(VLOOKUP(F7,$I$24:$J$152,2,)),"",VLOOKUP(F7,$I$24:$J$152,2,))</f>
        <v/>
      </c>
      <c r="H7" s="109"/>
      <c r="I7" s="111" t="s">
        <v>2</v>
      </c>
      <c r="J7" s="98" t="str">
        <f>$J$6&amp;I7</f>
        <v>VWHyperKVS</v>
      </c>
      <c r="K7" t="s">
        <v>701</v>
      </c>
      <c r="L7" s="98" t="str">
        <f>$M$6&amp;I7</f>
        <v>AudiHyperKVS</v>
      </c>
      <c r="M7" t="s">
        <v>701</v>
      </c>
      <c r="N7" t="str">
        <f>$O$6&amp;I7</f>
        <v>SEATHyperKVS</v>
      </c>
      <c r="O7" t="s">
        <v>701</v>
      </c>
      <c r="P7" s="98" t="str">
        <f>$Q$6&amp;I7</f>
        <v>SkodaHyperKVS</v>
      </c>
      <c r="Q7" t="s">
        <v>701</v>
      </c>
      <c r="R7" t="str">
        <f>$S$6&amp;I7</f>
        <v>BentleyHyperKVS</v>
      </c>
      <c r="S7" t="s">
        <v>701</v>
      </c>
      <c r="T7" t="str">
        <f>$U$6&amp;I7</f>
        <v>LamborghiniHyperKVS</v>
      </c>
      <c r="U7" t="s">
        <v>701</v>
      </c>
      <c r="V7" t="str">
        <f>$W$6&amp;I7</f>
        <v>BugattiHyperKVS</v>
      </c>
      <c r="W7" t="s">
        <v>701</v>
      </c>
      <c r="X7" t="str">
        <f>$Y$6&amp;I7</f>
        <v>PorscheHyperKVS</v>
      </c>
      <c r="Y7" t="s">
        <v>701</v>
      </c>
    </row>
    <row r="8" spans="1:28" x14ac:dyDescent="0.25">
      <c r="A8" s="111" t="s">
        <v>3</v>
      </c>
      <c r="B8" s="108">
        <f>applications!B12</f>
        <v>0</v>
      </c>
      <c r="C8" s="109" t="str">
        <f t="shared" ref="C8:C22" si="0">IF(B8="x",$B$5&amp;A8,"")</f>
        <v/>
      </c>
      <c r="D8" s="109" t="str">
        <f>IF(ISERROR(VLOOKUP(C8,$I$24:$J$152,2,)),"",VLOOKUP(C8,$I$24:$J$152,2,))</f>
        <v/>
      </c>
      <c r="E8" s="108">
        <f>applications!C12</f>
        <v>0</v>
      </c>
      <c r="F8" s="109" t="str">
        <f t="shared" ref="F8:F24" si="1">IF(E8="x",$E$5&amp;A8,"")</f>
        <v/>
      </c>
      <c r="G8" s="110" t="str">
        <f>IF(ISERROR(VLOOKUP(F8,$I$24:$J$152,2,)),"",VLOOKUP(F8,$I$24:$J$152,2,))</f>
        <v/>
      </c>
      <c r="H8" s="109"/>
      <c r="I8" s="111" t="s">
        <v>3</v>
      </c>
      <c r="J8" s="98" t="str">
        <f t="shared" ref="J8:J24" si="2">$J$6&amp;I8</f>
        <v>VWCONNECT</v>
      </c>
      <c r="K8" t="s">
        <v>701</v>
      </c>
      <c r="L8" s="98" t="str">
        <f t="shared" ref="L8:L24" si="3">$M$6&amp;I8</f>
        <v>AudiCONNECT</v>
      </c>
      <c r="M8" t="s">
        <v>701</v>
      </c>
      <c r="N8" t="str">
        <f t="shared" ref="N8:N24" si="4">$O$6&amp;I8</f>
        <v>SEATCONNECT</v>
      </c>
      <c r="O8" t="s">
        <v>701</v>
      </c>
      <c r="P8" s="98" t="str">
        <f t="shared" ref="P8:P24" si="5">$Q$6&amp;I8</f>
        <v>SkodaCONNECT</v>
      </c>
      <c r="Q8" s="140"/>
      <c r="R8" t="str">
        <f t="shared" ref="R8:R24" si="6">$S$6&amp;I8</f>
        <v>BentleyCONNECT</v>
      </c>
      <c r="S8" t="s">
        <v>701</v>
      </c>
      <c r="T8" t="str">
        <f t="shared" ref="T8:T24" si="7">$U$6&amp;I8</f>
        <v>LamborghiniCONNECT</v>
      </c>
      <c r="U8" t="s">
        <v>701</v>
      </c>
      <c r="V8" t="str">
        <f t="shared" ref="V8:V24" si="8">$W$6&amp;I8</f>
        <v>BugattiCONNECT</v>
      </c>
      <c r="W8" t="s">
        <v>701</v>
      </c>
      <c r="X8" t="str">
        <f t="shared" ref="X8:X24" si="9">$Y$6&amp;I8</f>
        <v>PorscheCONNECT</v>
      </c>
      <c r="Y8" t="s">
        <v>701</v>
      </c>
    </row>
    <row r="9" spans="1:28" x14ac:dyDescent="0.25">
      <c r="A9" s="111" t="s">
        <v>4</v>
      </c>
      <c r="B9" s="108">
        <f>applications!B13</f>
        <v>0</v>
      </c>
      <c r="C9" s="109" t="str">
        <f t="shared" si="0"/>
        <v/>
      </c>
      <c r="D9" s="109" t="str">
        <f t="shared" ref="D9:D22" si="10">IF(ISERROR(VLOOKUP(C9,$I$24:$J$152,2,)),"",VLOOKUP(C9,$I$24:$J$152,2,))</f>
        <v/>
      </c>
      <c r="E9" s="108">
        <f>applications!C13</f>
        <v>0</v>
      </c>
      <c r="F9" s="109" t="str">
        <f t="shared" si="1"/>
        <v/>
      </c>
      <c r="G9" s="110" t="str">
        <f t="shared" ref="G9:G22" si="11">IF(ISERROR(VLOOKUP(F9,$I$24:$J$152,2,)),"",VLOOKUP(F9,$I$24:$J$152,2,))</f>
        <v/>
      </c>
      <c r="H9" s="109"/>
      <c r="I9" s="111" t="s">
        <v>4</v>
      </c>
      <c r="J9" s="98" t="str">
        <f t="shared" si="2"/>
        <v>VWVW DMS</v>
      </c>
      <c r="K9" t="s">
        <v>701</v>
      </c>
      <c r="L9" s="98" t="str">
        <f t="shared" si="3"/>
        <v>AudiVW DMS</v>
      </c>
      <c r="M9" t="s">
        <v>701</v>
      </c>
      <c r="N9" t="str">
        <f t="shared" si="4"/>
        <v>SEATVW DMS</v>
      </c>
      <c r="O9" t="s">
        <v>701</v>
      </c>
      <c r="P9" s="98" t="str">
        <f t="shared" si="5"/>
        <v>SkodaVW DMS</v>
      </c>
      <c r="Q9" t="s">
        <v>701</v>
      </c>
      <c r="R9" t="str">
        <f t="shared" si="6"/>
        <v>BentleyVW DMS</v>
      </c>
      <c r="S9" t="s">
        <v>701</v>
      </c>
      <c r="T9" t="str">
        <f t="shared" si="7"/>
        <v>LamborghiniVW DMS</v>
      </c>
      <c r="U9" t="s">
        <v>701</v>
      </c>
      <c r="V9" t="str">
        <f t="shared" si="8"/>
        <v>BugattiVW DMS</v>
      </c>
      <c r="W9" t="s">
        <v>701</v>
      </c>
      <c r="X9" t="str">
        <f t="shared" si="9"/>
        <v>PorscheVW DMS</v>
      </c>
      <c r="Y9" t="s">
        <v>701</v>
      </c>
    </row>
    <row r="10" spans="1:28" x14ac:dyDescent="0.25">
      <c r="A10" s="111" t="s">
        <v>7</v>
      </c>
      <c r="B10" s="108">
        <f>applications!B14</f>
        <v>0</v>
      </c>
      <c r="C10" s="109" t="str">
        <f t="shared" si="0"/>
        <v/>
      </c>
      <c r="D10" s="109" t="str">
        <f t="shared" si="10"/>
        <v/>
      </c>
      <c r="E10" s="108">
        <f>applications!C14</f>
        <v>0</v>
      </c>
      <c r="F10" s="109" t="str">
        <f t="shared" si="1"/>
        <v/>
      </c>
      <c r="G10" s="110" t="str">
        <f t="shared" si="11"/>
        <v/>
      </c>
      <c r="H10" s="109"/>
      <c r="I10" s="111" t="s">
        <v>7</v>
      </c>
      <c r="J10" s="98" t="str">
        <f t="shared" si="2"/>
        <v>VWECA</v>
      </c>
      <c r="K10" t="s">
        <v>701</v>
      </c>
      <c r="L10" s="98" t="str">
        <f t="shared" si="3"/>
        <v>AudiECA</v>
      </c>
      <c r="M10" t="s">
        <v>701</v>
      </c>
      <c r="N10" t="str">
        <f t="shared" si="4"/>
        <v>SEATECA</v>
      </c>
      <c r="O10" t="s">
        <v>701</v>
      </c>
      <c r="P10" s="98" t="str">
        <f t="shared" si="5"/>
        <v>SkodaECA</v>
      </c>
      <c r="Q10" t="s">
        <v>701</v>
      </c>
      <c r="R10" t="str">
        <f t="shared" si="6"/>
        <v>BentleyECA</v>
      </c>
      <c r="S10" t="s">
        <v>701</v>
      </c>
      <c r="T10" t="str">
        <f t="shared" si="7"/>
        <v>LamborghiniECA</v>
      </c>
      <c r="U10" t="s">
        <v>701</v>
      </c>
      <c r="V10" t="str">
        <f t="shared" si="8"/>
        <v>BugattiECA</v>
      </c>
      <c r="W10" t="s">
        <v>701</v>
      </c>
      <c r="X10" t="str">
        <f t="shared" si="9"/>
        <v>PorscheECA</v>
      </c>
      <c r="Y10" t="s">
        <v>701</v>
      </c>
    </row>
    <row r="11" spans="1:28" x14ac:dyDescent="0.25">
      <c r="A11" s="111" t="s">
        <v>689</v>
      </c>
      <c r="B11" s="108">
        <f>applications!B15</f>
        <v>0</v>
      </c>
      <c r="C11" s="109" t="str">
        <f t="shared" si="0"/>
        <v/>
      </c>
      <c r="D11" s="109" t="str">
        <f t="shared" si="10"/>
        <v/>
      </c>
      <c r="E11" s="108">
        <f>applications!C15</f>
        <v>0</v>
      </c>
      <c r="F11" s="109" t="str">
        <f t="shared" si="1"/>
        <v/>
      </c>
      <c r="G11" s="110" t="str">
        <f t="shared" si="11"/>
        <v/>
      </c>
      <c r="H11" s="109"/>
      <c r="I11" s="111" t="s">
        <v>689</v>
      </c>
      <c r="J11" s="98" t="str">
        <f t="shared" si="2"/>
        <v>VWZMB</v>
      </c>
      <c r="K11" t="s">
        <v>701</v>
      </c>
      <c r="L11" s="98" t="str">
        <f t="shared" si="3"/>
        <v>AudiZMB</v>
      </c>
      <c r="M11" t="s">
        <v>701</v>
      </c>
      <c r="N11" t="str">
        <f t="shared" si="4"/>
        <v>SEATZMB</v>
      </c>
      <c r="O11" t="s">
        <v>701</v>
      </c>
      <c r="P11" s="98" t="str">
        <f t="shared" si="5"/>
        <v>SkodaZMB</v>
      </c>
      <c r="Q11" t="s">
        <v>701</v>
      </c>
      <c r="R11" t="str">
        <f t="shared" si="6"/>
        <v>BentleyZMB</v>
      </c>
      <c r="S11" t="s">
        <v>701</v>
      </c>
      <c r="T11" t="str">
        <f t="shared" si="7"/>
        <v>LamborghiniZMB</v>
      </c>
      <c r="U11" t="s">
        <v>701</v>
      </c>
      <c r="V11" t="str">
        <f t="shared" si="8"/>
        <v>BugattiZMB</v>
      </c>
      <c r="W11" t="s">
        <v>701</v>
      </c>
      <c r="X11" t="str">
        <f t="shared" si="9"/>
        <v>PorscheZMB</v>
      </c>
      <c r="Y11" t="s">
        <v>701</v>
      </c>
    </row>
    <row r="12" spans="1:28" x14ac:dyDescent="0.25">
      <c r="A12" s="111" t="s">
        <v>690</v>
      </c>
      <c r="B12" s="108">
        <f>applications!B16</f>
        <v>0</v>
      </c>
      <c r="C12" s="109" t="str">
        <f t="shared" si="0"/>
        <v/>
      </c>
      <c r="D12" s="109" t="str">
        <f t="shared" si="10"/>
        <v/>
      </c>
      <c r="E12" s="108">
        <f>applications!C16</f>
        <v>0</v>
      </c>
      <c r="F12" s="109" t="str">
        <f t="shared" si="1"/>
        <v/>
      </c>
      <c r="G12" s="110" t="str">
        <f t="shared" si="11"/>
        <v/>
      </c>
      <c r="H12" s="109"/>
      <c r="I12" s="111" t="s">
        <v>690</v>
      </c>
      <c r="J12" s="98" t="str">
        <f t="shared" si="2"/>
        <v>VWSCF</v>
      </c>
      <c r="K12" t="s">
        <v>701</v>
      </c>
      <c r="L12" s="98" t="str">
        <f t="shared" si="3"/>
        <v>AudiSCF</v>
      </c>
      <c r="M12" t="s">
        <v>701</v>
      </c>
      <c r="N12" t="str">
        <f t="shared" si="4"/>
        <v>SEATSCF</v>
      </c>
      <c r="O12" t="s">
        <v>701</v>
      </c>
      <c r="P12" s="98" t="str">
        <f t="shared" si="5"/>
        <v>SkodaSCF</v>
      </c>
      <c r="Q12" t="s">
        <v>701</v>
      </c>
      <c r="R12" t="str">
        <f t="shared" si="6"/>
        <v>BentleySCF</v>
      </c>
      <c r="S12" t="s">
        <v>701</v>
      </c>
      <c r="T12" t="str">
        <f t="shared" si="7"/>
        <v>LamborghiniSCF</v>
      </c>
      <c r="U12" t="s">
        <v>701</v>
      </c>
      <c r="V12" t="str">
        <f t="shared" si="8"/>
        <v>BugattiSCF</v>
      </c>
      <c r="W12" t="s">
        <v>701</v>
      </c>
      <c r="X12" t="str">
        <f t="shared" si="9"/>
        <v>PorscheSCF</v>
      </c>
      <c r="Y12" t="s">
        <v>701</v>
      </c>
    </row>
    <row r="13" spans="1:28" x14ac:dyDescent="0.25">
      <c r="A13" s="111" t="s">
        <v>709</v>
      </c>
      <c r="B13" s="108">
        <f>applications!B17</f>
        <v>0</v>
      </c>
      <c r="C13" s="109" t="str">
        <f t="shared" si="0"/>
        <v/>
      </c>
      <c r="D13" s="109" t="str">
        <f t="shared" si="10"/>
        <v/>
      </c>
      <c r="E13" s="108">
        <f>applications!C17</f>
        <v>0</v>
      </c>
      <c r="F13" s="109" t="str">
        <f t="shared" si="1"/>
        <v/>
      </c>
      <c r="G13" s="110" t="str">
        <f t="shared" si="11"/>
        <v/>
      </c>
      <c r="H13" s="109"/>
      <c r="I13" s="111" t="s">
        <v>709</v>
      </c>
      <c r="J13" s="98" t="str">
        <f t="shared" si="2"/>
        <v>VWSyncrofit</v>
      </c>
      <c r="K13" t="s">
        <v>701</v>
      </c>
      <c r="L13" s="98" t="str">
        <f t="shared" si="3"/>
        <v>AudiSyncrofit</v>
      </c>
      <c r="M13" t="s">
        <v>701</v>
      </c>
      <c r="N13" t="str">
        <f t="shared" si="4"/>
        <v>SEATSyncrofit</v>
      </c>
      <c r="O13" t="s">
        <v>701</v>
      </c>
      <c r="P13" s="98" t="str">
        <f t="shared" si="5"/>
        <v>SkodaSyncrofit</v>
      </c>
      <c r="Q13" t="s">
        <v>701</v>
      </c>
      <c r="R13" t="str">
        <f t="shared" si="6"/>
        <v>BentleySyncrofit</v>
      </c>
      <c r="S13" t="s">
        <v>701</v>
      </c>
      <c r="T13" t="str">
        <f t="shared" si="7"/>
        <v>LamborghiniSyncrofit</v>
      </c>
      <c r="U13" t="s">
        <v>701</v>
      </c>
      <c r="V13" t="str">
        <f t="shared" si="8"/>
        <v>BugattiSyncrofit</v>
      </c>
      <c r="W13" t="s">
        <v>701</v>
      </c>
      <c r="X13" t="str">
        <f t="shared" si="9"/>
        <v>PorscheSyncrofit</v>
      </c>
      <c r="Y13" t="s">
        <v>701</v>
      </c>
    </row>
    <row r="14" spans="1:28" x14ac:dyDescent="0.25">
      <c r="A14" s="111" t="s">
        <v>658</v>
      </c>
      <c r="B14" s="108">
        <f>applications!B18</f>
        <v>0</v>
      </c>
      <c r="C14" s="109" t="str">
        <f t="shared" si="0"/>
        <v/>
      </c>
      <c r="D14" s="109" t="str">
        <f t="shared" si="10"/>
        <v/>
      </c>
      <c r="E14" s="108">
        <f>applications!C18</f>
        <v>0</v>
      </c>
      <c r="F14" s="109" t="str">
        <f t="shared" si="1"/>
        <v/>
      </c>
      <c r="G14" s="110" t="str">
        <f t="shared" si="11"/>
        <v/>
      </c>
      <c r="H14" s="109"/>
      <c r="I14" s="111" t="s">
        <v>658</v>
      </c>
      <c r="J14" s="98" t="str">
        <f t="shared" si="2"/>
        <v>VWOFTP2 (CAx-Datenaustausch über Internet)</v>
      </c>
      <c r="K14" t="s">
        <v>701</v>
      </c>
      <c r="L14" s="98" t="str">
        <f t="shared" si="3"/>
        <v>AudiOFTP2 (CAx-Datenaustausch über Internet)</v>
      </c>
      <c r="M14" t="s">
        <v>702</v>
      </c>
      <c r="N14" t="str">
        <f t="shared" si="4"/>
        <v>SEATOFTP2 (CAx-Datenaustausch über Internet)</v>
      </c>
      <c r="O14" s="140" t="s">
        <v>734</v>
      </c>
      <c r="P14" s="98" t="str">
        <f t="shared" si="5"/>
        <v>SkodaOFTP2 (CAx-Datenaustausch über Internet)</v>
      </c>
      <c r="Q14" s="140"/>
      <c r="R14" t="str">
        <f t="shared" si="6"/>
        <v>BentleyOFTP2 (CAx-Datenaustausch über Internet)</v>
      </c>
      <c r="S14" s="140"/>
      <c r="T14" t="str">
        <f t="shared" si="7"/>
        <v>LamborghiniOFTP2 (CAx-Datenaustausch über Internet)</v>
      </c>
      <c r="U14" s="140"/>
      <c r="V14" t="str">
        <f t="shared" si="8"/>
        <v>BugattiOFTP2 (CAx-Datenaustausch über Internet)</v>
      </c>
      <c r="W14" s="140"/>
      <c r="X14" t="str">
        <f t="shared" si="9"/>
        <v>PorscheOFTP2 (CAx-Datenaustausch über Internet)</v>
      </c>
      <c r="Y14" s="140"/>
    </row>
    <row r="15" spans="1:28" x14ac:dyDescent="0.25">
      <c r="A15" s="111" t="s">
        <v>9</v>
      </c>
      <c r="B15" s="108">
        <f>applications!B19</f>
        <v>0</v>
      </c>
      <c r="C15" s="109" t="str">
        <f t="shared" si="0"/>
        <v/>
      </c>
      <c r="D15" s="109" t="str">
        <f t="shared" si="10"/>
        <v/>
      </c>
      <c r="E15" s="108">
        <f>applications!C19</f>
        <v>0</v>
      </c>
      <c r="F15" s="109" t="str">
        <f t="shared" si="1"/>
        <v/>
      </c>
      <c r="G15" s="110" t="str">
        <f t="shared" si="11"/>
        <v/>
      </c>
      <c r="H15" s="109"/>
      <c r="I15" s="111" t="s">
        <v>9</v>
      </c>
      <c r="J15" s="98" t="str">
        <f t="shared" si="2"/>
        <v>VWSimplX</v>
      </c>
      <c r="K15" t="s">
        <v>703</v>
      </c>
      <c r="L15" s="98" t="str">
        <f t="shared" si="3"/>
        <v>AudiSimplX</v>
      </c>
      <c r="M15" t="s">
        <v>704</v>
      </c>
      <c r="N15" t="str">
        <f t="shared" si="4"/>
        <v>SEATSimplX</v>
      </c>
      <c r="O15" s="140"/>
      <c r="P15" s="98" t="str">
        <f t="shared" si="5"/>
        <v>SkodaSimplX</v>
      </c>
      <c r="Q15" s="140"/>
      <c r="R15" t="str">
        <f t="shared" si="6"/>
        <v>BentleySimplX</v>
      </c>
      <c r="S15" s="140"/>
      <c r="T15" t="str">
        <f t="shared" si="7"/>
        <v>LamborghiniSimplX</v>
      </c>
      <c r="U15" s="140"/>
      <c r="V15" t="str">
        <f t="shared" si="8"/>
        <v>BugattiSimplX</v>
      </c>
      <c r="W15" s="140"/>
      <c r="X15" t="str">
        <f t="shared" si="9"/>
        <v>PorscheSimplX</v>
      </c>
      <c r="Y15" s="140"/>
    </row>
    <row r="16" spans="1:28" x14ac:dyDescent="0.25">
      <c r="A16" s="111" t="s">
        <v>6</v>
      </c>
      <c r="B16" s="108">
        <f>applications!B20</f>
        <v>0</v>
      </c>
      <c r="C16" s="109" t="str">
        <f t="shared" si="0"/>
        <v/>
      </c>
      <c r="D16" s="109" t="str">
        <f t="shared" si="10"/>
        <v/>
      </c>
      <c r="E16" s="108">
        <f>applications!C20</f>
        <v>0</v>
      </c>
      <c r="F16" s="109" t="str">
        <f t="shared" si="1"/>
        <v/>
      </c>
      <c r="G16" s="110" t="str">
        <f t="shared" si="11"/>
        <v/>
      </c>
      <c r="H16" s="109"/>
      <c r="I16" s="111" t="s">
        <v>6</v>
      </c>
      <c r="J16" s="98" t="str">
        <f t="shared" si="2"/>
        <v>VW(TE) DMZ Laufwerk</v>
      </c>
      <c r="K16" t="s">
        <v>701</v>
      </c>
      <c r="L16" s="98" t="str">
        <f t="shared" si="3"/>
        <v>Audi(TE) DMZ Laufwerk</v>
      </c>
      <c r="M16" t="s">
        <v>702</v>
      </c>
      <c r="N16" t="str">
        <f t="shared" si="4"/>
        <v>SEAT(TE) DMZ Laufwerk</v>
      </c>
      <c r="O16" s="140"/>
      <c r="P16" s="98" t="str">
        <f t="shared" si="5"/>
        <v>Skoda(TE) DMZ Laufwerk</v>
      </c>
      <c r="Q16" s="140"/>
      <c r="R16" t="str">
        <f t="shared" si="6"/>
        <v>Bentley(TE) DMZ Laufwerk</v>
      </c>
      <c r="S16" s="140"/>
      <c r="T16" t="str">
        <f t="shared" si="7"/>
        <v>Lamborghini(TE) DMZ Laufwerk</v>
      </c>
      <c r="U16" s="140"/>
      <c r="V16" t="str">
        <f t="shared" si="8"/>
        <v>Bugatti(TE) DMZ Laufwerk</v>
      </c>
      <c r="W16" s="140"/>
      <c r="X16" t="str">
        <f t="shared" si="9"/>
        <v>Porsche(TE) DMZ Laufwerk</v>
      </c>
      <c r="Y16" s="140"/>
    </row>
    <row r="17" spans="1:25" x14ac:dyDescent="0.25">
      <c r="A17" s="111" t="s">
        <v>699</v>
      </c>
      <c r="B17" s="108">
        <f>applications!B21</f>
        <v>0</v>
      </c>
      <c r="C17" s="109" t="str">
        <f t="shared" si="0"/>
        <v/>
      </c>
      <c r="D17" s="109" t="str">
        <f t="shared" si="10"/>
        <v/>
      </c>
      <c r="E17" s="108">
        <f>applications!C21</f>
        <v>0</v>
      </c>
      <c r="F17" s="109" t="str">
        <f t="shared" si="1"/>
        <v/>
      </c>
      <c r="G17" s="110" t="str">
        <f t="shared" si="11"/>
        <v/>
      </c>
      <c r="H17" s="109"/>
      <c r="I17" s="111" t="s">
        <v>699</v>
      </c>
      <c r="J17" s="98" t="str">
        <f t="shared" si="2"/>
        <v>VWAudi Mynet</v>
      </c>
      <c r="K17" t="s">
        <v>701</v>
      </c>
      <c r="L17" s="98" t="str">
        <f t="shared" si="3"/>
        <v>AudiAudi Mynet</v>
      </c>
      <c r="M17" t="s">
        <v>702</v>
      </c>
      <c r="N17" t="str">
        <f t="shared" si="4"/>
        <v>SEATAudi Mynet</v>
      </c>
      <c r="O17" s="140"/>
      <c r="P17" s="98" t="str">
        <f t="shared" si="5"/>
        <v>SkodaAudi Mynet</v>
      </c>
      <c r="Q17" s="140"/>
      <c r="R17" t="str">
        <f t="shared" si="6"/>
        <v>BentleyAudi Mynet</v>
      </c>
      <c r="S17" s="140"/>
      <c r="T17" t="str">
        <f t="shared" si="7"/>
        <v>LamborghiniAudi Mynet</v>
      </c>
      <c r="U17" s="140"/>
      <c r="V17" t="str">
        <f t="shared" si="8"/>
        <v>BugattiAudi Mynet</v>
      </c>
      <c r="W17" s="140"/>
      <c r="X17" t="str">
        <f t="shared" si="9"/>
        <v>PorscheAudi Mynet</v>
      </c>
      <c r="Y17" s="140"/>
    </row>
    <row r="18" spans="1:25" x14ac:dyDescent="0.25">
      <c r="A18" s="111" t="s">
        <v>659</v>
      </c>
      <c r="B18" s="108">
        <f>applications!B22</f>
        <v>0</v>
      </c>
      <c r="C18" s="109" t="str">
        <f t="shared" si="0"/>
        <v/>
      </c>
      <c r="D18" s="109" t="str">
        <f t="shared" si="10"/>
        <v/>
      </c>
      <c r="E18" s="108">
        <f>applications!C22</f>
        <v>0</v>
      </c>
      <c r="F18" s="109" t="str">
        <f t="shared" si="1"/>
        <v/>
      </c>
      <c r="G18" s="110" t="str">
        <f t="shared" si="11"/>
        <v/>
      </c>
      <c r="H18" s="109"/>
      <c r="I18" s="111" t="s">
        <v>659</v>
      </c>
      <c r="J18" s="98" t="str">
        <f t="shared" si="2"/>
        <v>VWEDI- bzw. kommerzieller Datenaustausch</v>
      </c>
      <c r="K18" t="s">
        <v>701</v>
      </c>
      <c r="L18" s="98" t="str">
        <f t="shared" si="3"/>
        <v>AudiEDI- bzw. kommerzieller Datenaustausch</v>
      </c>
      <c r="M18" s="701" t="s">
        <v>701</v>
      </c>
      <c r="N18" t="str">
        <f t="shared" si="4"/>
        <v>SEATEDI- bzw. kommerzieller Datenaustausch</v>
      </c>
      <c r="O18" s="134"/>
      <c r="P18" s="98" t="str">
        <f t="shared" si="5"/>
        <v>SkodaEDI- bzw. kommerzieller Datenaustausch</v>
      </c>
      <c r="Q18" t="s">
        <v>701</v>
      </c>
      <c r="R18" t="str">
        <f t="shared" si="6"/>
        <v>BentleyEDI- bzw. kommerzieller Datenaustausch</v>
      </c>
      <c r="S18" t="s">
        <v>701</v>
      </c>
      <c r="T18" t="str">
        <f t="shared" si="7"/>
        <v>LamborghiniEDI- bzw. kommerzieller Datenaustausch</v>
      </c>
      <c r="U18" t="s">
        <v>701</v>
      </c>
      <c r="V18" t="str">
        <f t="shared" si="8"/>
        <v>BugattiEDI- bzw. kommerzieller Datenaustausch</v>
      </c>
      <c r="W18" t="s">
        <v>701</v>
      </c>
      <c r="X18" t="str">
        <f t="shared" si="9"/>
        <v>PorscheEDI- bzw. kommerzieller Datenaustausch</v>
      </c>
      <c r="Y18" t="s">
        <v>701</v>
      </c>
    </row>
    <row r="19" spans="1:25" x14ac:dyDescent="0.25">
      <c r="A19" s="111" t="s">
        <v>5</v>
      </c>
      <c r="B19" s="108">
        <f>applications!B23</f>
        <v>0</v>
      </c>
      <c r="C19" s="109" t="str">
        <f t="shared" si="0"/>
        <v/>
      </c>
      <c r="D19" s="109" t="str">
        <f t="shared" si="10"/>
        <v/>
      </c>
      <c r="E19" s="108">
        <f>applications!C23</f>
        <v>0</v>
      </c>
      <c r="F19" s="109" t="str">
        <f t="shared" si="1"/>
        <v/>
      </c>
      <c r="G19" s="110" t="str">
        <f t="shared" si="11"/>
        <v/>
      </c>
      <c r="H19" s="109"/>
      <c r="I19" s="111" t="s">
        <v>5</v>
      </c>
      <c r="J19" s="98" t="str">
        <f t="shared" si="2"/>
        <v>VWQTS</v>
      </c>
      <c r="K19" s="140"/>
      <c r="L19" s="98" t="str">
        <f t="shared" si="3"/>
        <v>AudiQTS</v>
      </c>
      <c r="M19" t="s">
        <v>702</v>
      </c>
      <c r="N19" t="str">
        <f t="shared" si="4"/>
        <v>SEATQTS</v>
      </c>
      <c r="O19" s="140"/>
      <c r="P19" s="98" t="str">
        <f t="shared" si="5"/>
        <v>SkodaQTS</v>
      </c>
      <c r="Q19" s="140"/>
      <c r="R19" t="str">
        <f t="shared" si="6"/>
        <v>BentleyQTS</v>
      </c>
      <c r="S19" s="140"/>
      <c r="T19" t="str">
        <f t="shared" si="7"/>
        <v>LamborghiniQTS</v>
      </c>
      <c r="U19" s="140"/>
      <c r="V19" t="str">
        <f t="shared" si="8"/>
        <v>BugattiQTS</v>
      </c>
      <c r="W19" s="140"/>
      <c r="X19" t="str">
        <f t="shared" si="9"/>
        <v>PorscheQTS</v>
      </c>
      <c r="Y19" s="140"/>
    </row>
    <row r="20" spans="1:25" x14ac:dyDescent="0.25">
      <c r="A20" s="111" t="s">
        <v>696</v>
      </c>
      <c r="B20" s="108">
        <f>applications!B24</f>
        <v>0</v>
      </c>
      <c r="C20" s="109" t="str">
        <f t="shared" si="0"/>
        <v/>
      </c>
      <c r="D20" s="109" t="str">
        <f t="shared" si="10"/>
        <v/>
      </c>
      <c r="E20" s="108">
        <f>applications!C24</f>
        <v>0</v>
      </c>
      <c r="F20" s="109" t="str">
        <f t="shared" si="1"/>
        <v/>
      </c>
      <c r="G20" s="110" t="str">
        <f t="shared" si="11"/>
        <v/>
      </c>
      <c r="H20" s="109"/>
      <c r="I20" s="111" t="s">
        <v>696</v>
      </c>
      <c r="J20" s="98" t="str">
        <f t="shared" si="2"/>
        <v>VWCitrix</v>
      </c>
      <c r="K20" t="s">
        <v>701</v>
      </c>
      <c r="L20" s="98" t="str">
        <f t="shared" si="3"/>
        <v>AudiCitrix</v>
      </c>
      <c r="M20" t="s">
        <v>702</v>
      </c>
      <c r="N20" t="str">
        <f t="shared" si="4"/>
        <v>SEATCitrix</v>
      </c>
      <c r="O20" t="s">
        <v>701</v>
      </c>
      <c r="P20" s="98" t="str">
        <f t="shared" si="5"/>
        <v>SkodaCitrix</v>
      </c>
      <c r="Q20" t="s">
        <v>701</v>
      </c>
      <c r="R20" t="str">
        <f t="shared" si="6"/>
        <v>BentleyCitrix</v>
      </c>
      <c r="S20" t="s">
        <v>701</v>
      </c>
      <c r="T20" t="str">
        <f t="shared" si="7"/>
        <v>LamborghiniCitrix</v>
      </c>
      <c r="U20" t="s">
        <v>701</v>
      </c>
      <c r="V20" t="str">
        <f t="shared" si="8"/>
        <v>BugattiCitrix</v>
      </c>
      <c r="W20" t="s">
        <v>701</v>
      </c>
      <c r="X20" t="str">
        <f t="shared" si="9"/>
        <v>PorscheCitrix</v>
      </c>
      <c r="Y20" t="s">
        <v>701</v>
      </c>
    </row>
    <row r="21" spans="1:25" x14ac:dyDescent="0.25">
      <c r="A21" s="111" t="s">
        <v>697</v>
      </c>
      <c r="B21" s="108">
        <f>applications!B25</f>
        <v>0</v>
      </c>
      <c r="C21" s="109" t="str">
        <f t="shared" si="0"/>
        <v/>
      </c>
      <c r="D21" s="109" t="str">
        <f t="shared" si="10"/>
        <v/>
      </c>
      <c r="E21" s="108">
        <f>applications!C25</f>
        <v>0</v>
      </c>
      <c r="F21" s="109" t="str">
        <f t="shared" si="1"/>
        <v/>
      </c>
      <c r="G21" s="110" t="str">
        <f t="shared" si="11"/>
        <v/>
      </c>
      <c r="H21" s="109"/>
      <c r="I21" s="111" t="s">
        <v>697</v>
      </c>
      <c r="J21" s="98" t="str">
        <f t="shared" si="2"/>
        <v>VWWTS</v>
      </c>
      <c r="K21" s="140"/>
      <c r="L21" s="98" t="str">
        <f t="shared" si="3"/>
        <v>AudiWTS</v>
      </c>
      <c r="M21" t="s">
        <v>702</v>
      </c>
      <c r="N21" t="str">
        <f t="shared" si="4"/>
        <v>SEATWTS</v>
      </c>
      <c r="O21" s="140"/>
      <c r="P21" s="98" t="str">
        <f t="shared" si="5"/>
        <v>SkodaWTS</v>
      </c>
      <c r="Q21" s="140"/>
      <c r="R21" t="str">
        <f t="shared" si="6"/>
        <v>BentleyWTS</v>
      </c>
      <c r="S21" s="140"/>
      <c r="T21" t="str">
        <f t="shared" si="7"/>
        <v>LamborghiniWTS</v>
      </c>
      <c r="U21" s="140"/>
      <c r="V21" t="str">
        <f t="shared" si="8"/>
        <v>BugattiWTS</v>
      </c>
      <c r="W21" s="140"/>
      <c r="X21" t="str">
        <f t="shared" si="9"/>
        <v>PorscheWTS</v>
      </c>
      <c r="Y21" s="140"/>
    </row>
    <row r="22" spans="1:25" x14ac:dyDescent="0.25">
      <c r="A22" s="111" t="s">
        <v>698</v>
      </c>
      <c r="B22" s="108">
        <f>applications!B26</f>
        <v>0</v>
      </c>
      <c r="C22" s="109" t="str">
        <f t="shared" si="0"/>
        <v/>
      </c>
      <c r="D22" s="109" t="str">
        <f t="shared" si="10"/>
        <v/>
      </c>
      <c r="E22" s="108">
        <f>applications!C26</f>
        <v>0</v>
      </c>
      <c r="F22" s="109" t="str">
        <f t="shared" si="1"/>
        <v/>
      </c>
      <c r="G22" s="110" t="str">
        <f t="shared" si="11"/>
        <v/>
      </c>
      <c r="H22" s="109"/>
      <c r="I22" s="111" t="s">
        <v>698</v>
      </c>
      <c r="J22" s="98" t="str">
        <f t="shared" si="2"/>
        <v>VWVolkswagen ePortal</v>
      </c>
      <c r="K22" t="s">
        <v>701</v>
      </c>
      <c r="L22" s="98" t="str">
        <f t="shared" si="3"/>
        <v>AudiVolkswagen ePortal</v>
      </c>
      <c r="M22" s="140"/>
      <c r="N22" t="str">
        <f t="shared" si="4"/>
        <v>SEATVolkswagen ePortal</v>
      </c>
      <c r="O22" t="s">
        <v>701</v>
      </c>
      <c r="P22" s="98" t="str">
        <f t="shared" si="5"/>
        <v>SkodaVolkswagen ePortal</v>
      </c>
      <c r="Q22" t="s">
        <v>701</v>
      </c>
      <c r="R22" t="str">
        <f t="shared" si="6"/>
        <v>BentleyVolkswagen ePortal</v>
      </c>
      <c r="S22" t="s">
        <v>701</v>
      </c>
      <c r="T22" t="str">
        <f t="shared" si="7"/>
        <v>LamborghiniVolkswagen ePortal</v>
      </c>
      <c r="U22" t="s">
        <v>701</v>
      </c>
      <c r="V22" t="str">
        <f t="shared" si="8"/>
        <v>BugattiVolkswagen ePortal</v>
      </c>
      <c r="W22" t="s">
        <v>701</v>
      </c>
      <c r="X22" t="str">
        <f t="shared" si="9"/>
        <v>PorscheVolkswagen ePortal</v>
      </c>
      <c r="Y22" t="s">
        <v>701</v>
      </c>
    </row>
    <row r="23" spans="1:25" x14ac:dyDescent="0.25">
      <c r="A23" s="111" t="s">
        <v>51</v>
      </c>
      <c r="B23" s="108">
        <f>applications!B27</f>
        <v>0</v>
      </c>
      <c r="C23" s="109"/>
      <c r="D23" s="109"/>
      <c r="E23" s="108">
        <f>applications!C27</f>
        <v>0</v>
      </c>
      <c r="F23" s="109" t="str">
        <f t="shared" si="1"/>
        <v/>
      </c>
      <c r="G23" s="110"/>
      <c r="H23" s="109"/>
      <c r="I23" s="111" t="s">
        <v>51</v>
      </c>
      <c r="J23" s="98" t="str">
        <f t="shared" si="2"/>
        <v>VWJIT</v>
      </c>
      <c r="K23" t="s">
        <v>701</v>
      </c>
      <c r="L23" s="98" t="str">
        <f t="shared" si="3"/>
        <v>AudiJIT</v>
      </c>
      <c r="M23" t="s">
        <v>702</v>
      </c>
      <c r="N23" t="str">
        <f t="shared" si="4"/>
        <v>SEATJIT</v>
      </c>
      <c r="O23" t="s">
        <v>701</v>
      </c>
      <c r="P23" s="98" t="str">
        <f t="shared" si="5"/>
        <v>SkodaJIT</v>
      </c>
      <c r="Q23" t="s">
        <v>701</v>
      </c>
      <c r="R23" t="str">
        <f t="shared" si="6"/>
        <v>BentleyJIT</v>
      </c>
      <c r="S23" t="s">
        <v>701</v>
      </c>
      <c r="T23" t="str">
        <f t="shared" si="7"/>
        <v>LamborghiniJIT</v>
      </c>
      <c r="U23" t="s">
        <v>701</v>
      </c>
      <c r="V23" t="str">
        <f t="shared" si="8"/>
        <v>BugattiJIT</v>
      </c>
      <c r="W23" t="s">
        <v>701</v>
      </c>
      <c r="X23" t="str">
        <f t="shared" si="9"/>
        <v>PorscheJIT</v>
      </c>
      <c r="Y23" t="s">
        <v>701</v>
      </c>
    </row>
    <row r="24" spans="1:25" ht="15.75" thickBot="1" x14ac:dyDescent="0.3">
      <c r="A24" s="139" t="s">
        <v>55</v>
      </c>
      <c r="B24" s="112">
        <f>applications!B28</f>
        <v>0</v>
      </c>
      <c r="C24" s="113"/>
      <c r="D24" s="113"/>
      <c r="E24" s="112">
        <f>applications!C28</f>
        <v>0</v>
      </c>
      <c r="F24" s="113" t="str">
        <f t="shared" si="1"/>
        <v/>
      </c>
      <c r="G24" s="114"/>
      <c r="H24" s="109"/>
      <c r="I24" s="111" t="s">
        <v>55</v>
      </c>
      <c r="J24" s="98" t="str">
        <f t="shared" si="2"/>
        <v xml:space="preserve">VWsonstiger Service </v>
      </c>
      <c r="K24" t="s">
        <v>701</v>
      </c>
      <c r="L24" s="98" t="str">
        <f t="shared" si="3"/>
        <v xml:space="preserve">Audisonstiger Service </v>
      </c>
      <c r="M24" t="s">
        <v>702</v>
      </c>
      <c r="N24" t="str">
        <f t="shared" si="4"/>
        <v xml:space="preserve">SEATsonstiger Service </v>
      </c>
      <c r="O24" t="s">
        <v>701</v>
      </c>
      <c r="P24" s="98" t="str">
        <f t="shared" si="5"/>
        <v xml:space="preserve">Skodasonstiger Service </v>
      </c>
      <c r="Q24" t="s">
        <v>701</v>
      </c>
      <c r="R24" t="str">
        <f t="shared" si="6"/>
        <v xml:space="preserve">Bentleysonstiger Service </v>
      </c>
      <c r="S24" t="s">
        <v>701</v>
      </c>
      <c r="T24" t="str">
        <f t="shared" si="7"/>
        <v xml:space="preserve">Lamborghinisonstiger Service </v>
      </c>
      <c r="U24" t="s">
        <v>701</v>
      </c>
      <c r="V24" t="str">
        <f t="shared" si="8"/>
        <v xml:space="preserve">Bugattisonstiger Service </v>
      </c>
      <c r="W24" t="s">
        <v>701</v>
      </c>
      <c r="X24" t="str">
        <f t="shared" si="9"/>
        <v xml:space="preserve">Porschesonstiger Service </v>
      </c>
      <c r="Y24" t="s">
        <v>701</v>
      </c>
    </row>
    <row r="25" spans="1:25" x14ac:dyDescent="0.25">
      <c r="A25" s="142"/>
      <c r="B25" s="108"/>
      <c r="C25" s="109" t="s">
        <v>700</v>
      </c>
      <c r="D25" s="109" t="s">
        <v>706</v>
      </c>
      <c r="E25" s="108"/>
      <c r="F25" s="109"/>
      <c r="G25" s="109"/>
      <c r="H25" s="109"/>
      <c r="I25" s="142"/>
      <c r="J25" s="98"/>
      <c r="L25" s="98"/>
      <c r="P25" s="98"/>
    </row>
    <row r="26" spans="1:25" x14ac:dyDescent="0.25">
      <c r="A26" s="141" t="s">
        <v>731</v>
      </c>
      <c r="B26" t="s">
        <v>701</v>
      </c>
      <c r="C26" t="str">
        <f>IF(ISERROR(VLOOKUP("CSN VW",$D$7:$D$24,1,)),"","CSN VW")</f>
        <v/>
      </c>
      <c r="D26" t="str">
        <f>IF(ISERROR(VLOOKUP("CSN VW",$G$7:$G$24,1,)),"","CSN VW")</f>
        <v/>
      </c>
      <c r="F26" s="142"/>
      <c r="I26" t="str">
        <f>J7</f>
        <v>VWHyperKVS</v>
      </c>
      <c r="J26" s="98" t="str">
        <f>K7</f>
        <v>CSN VW</v>
      </c>
    </row>
    <row r="27" spans="1:25" x14ac:dyDescent="0.25">
      <c r="A27" s="141" t="s">
        <v>732</v>
      </c>
      <c r="B27" t="s">
        <v>702</v>
      </c>
      <c r="C27" t="str">
        <f>IF(ISERROR(VLOOKUP("CSN Audi",$D$7:$D$24,1,)),"","CSN Audi")</f>
        <v/>
      </c>
      <c r="D27" t="str">
        <f>IF(ISERROR(VLOOKUP("CSN Audi",$G$7:$G$24,1,)),"","Audi")</f>
        <v/>
      </c>
      <c r="I27" t="str">
        <f t="shared" ref="I27:J27" si="12">J8</f>
        <v>VWCONNECT</v>
      </c>
      <c r="J27" s="98" t="str">
        <f t="shared" si="12"/>
        <v>CSN VW</v>
      </c>
    </row>
    <row r="28" spans="1:25" x14ac:dyDescent="0.25">
      <c r="I28" t="str">
        <f t="shared" ref="I28:J28" si="13">J9</f>
        <v>VWVW DMS</v>
      </c>
      <c r="J28" s="98" t="str">
        <f t="shared" si="13"/>
        <v>CSN VW</v>
      </c>
    </row>
    <row r="29" spans="1:25" x14ac:dyDescent="0.25">
      <c r="I29" t="str">
        <f t="shared" ref="I29:J29" si="14">J10</f>
        <v>VWECA</v>
      </c>
      <c r="J29" s="98" t="str">
        <f t="shared" si="14"/>
        <v>CSN VW</v>
      </c>
    </row>
    <row r="30" spans="1:25" x14ac:dyDescent="0.25">
      <c r="A30" s="141" t="s">
        <v>733</v>
      </c>
      <c r="B30" s="99" t="s">
        <v>701</v>
      </c>
      <c r="C30" t="str">
        <f>IF(D26=C26,"ja","nein")</f>
        <v>ja</v>
      </c>
      <c r="I30" t="str">
        <f t="shared" ref="I30:J30" si="15">J11</f>
        <v>VWZMB</v>
      </c>
      <c r="J30" s="98" t="str">
        <f t="shared" si="15"/>
        <v>CSN VW</v>
      </c>
    </row>
    <row r="31" spans="1:25" x14ac:dyDescent="0.25">
      <c r="B31" s="99" t="s">
        <v>702</v>
      </c>
      <c r="C31" t="str">
        <f>IF(D27=C27,"ja","nein")</f>
        <v>ja</v>
      </c>
      <c r="I31" t="str">
        <f t="shared" ref="I31:J31" si="16">J12</f>
        <v>VWSCF</v>
      </c>
      <c r="J31" s="98" t="str">
        <f t="shared" si="16"/>
        <v>CSN VW</v>
      </c>
    </row>
    <row r="32" spans="1:25" x14ac:dyDescent="0.25">
      <c r="I32" t="str">
        <f t="shared" ref="I32:J32" si="17">J13</f>
        <v>VWSyncrofit</v>
      </c>
      <c r="J32" s="98" t="str">
        <f t="shared" si="17"/>
        <v>CSN VW</v>
      </c>
    </row>
    <row r="33" spans="1:10" x14ac:dyDescent="0.25">
      <c r="I33" t="str">
        <f t="shared" ref="I33:J33" si="18">J14</f>
        <v>VWOFTP2 (CAx-Datenaustausch über Internet)</v>
      </c>
      <c r="J33" s="98" t="str">
        <f t="shared" si="18"/>
        <v>CSN VW</v>
      </c>
    </row>
    <row r="34" spans="1:10" x14ac:dyDescent="0.25">
      <c r="I34" t="str">
        <f t="shared" ref="I34:J34" si="19">J15</f>
        <v>VWSimplX</v>
      </c>
      <c r="J34" s="98" t="str">
        <f t="shared" si="19"/>
        <v>SimplX VW</v>
      </c>
    </row>
    <row r="35" spans="1:10" x14ac:dyDescent="0.25">
      <c r="A35" s="141" t="s">
        <v>735</v>
      </c>
      <c r="B35" s="99" t="s">
        <v>700</v>
      </c>
      <c r="C35">
        <f>IF(summary!C251="x",1,10)</f>
        <v>10</v>
      </c>
      <c r="I35" t="str">
        <f t="shared" ref="I35:J35" si="20">J16</f>
        <v>VW(TE) DMZ Laufwerk</v>
      </c>
      <c r="J35" s="98" t="str">
        <f t="shared" si="20"/>
        <v>CSN VW</v>
      </c>
    </row>
    <row r="36" spans="1:10" x14ac:dyDescent="0.25">
      <c r="C36">
        <f>IF(summary!C252="x",2,10)</f>
        <v>10</v>
      </c>
      <c r="I36" t="str">
        <f t="shared" ref="I36:J36" si="21">J17</f>
        <v>VWAudi Mynet</v>
      </c>
      <c r="J36" s="98" t="str">
        <f t="shared" si="21"/>
        <v>CSN VW</v>
      </c>
    </row>
    <row r="37" spans="1:10" x14ac:dyDescent="0.25">
      <c r="B37" s="99" t="s">
        <v>736</v>
      </c>
      <c r="C37" t="str">
        <f>IF(SUM(C35:C36)&lt;10,"Zweitvertrag","-")</f>
        <v>-</v>
      </c>
      <c r="I37" t="str">
        <f t="shared" ref="I37:J37" si="22">J18</f>
        <v>VWEDI- bzw. kommerzieller Datenaustausch</v>
      </c>
      <c r="J37" s="98" t="str">
        <f t="shared" si="22"/>
        <v>CSN VW</v>
      </c>
    </row>
    <row r="38" spans="1:10" x14ac:dyDescent="0.25">
      <c r="I38" t="str">
        <f t="shared" ref="I38:J38" si="23">J19</f>
        <v>VWQTS</v>
      </c>
      <c r="J38" s="98">
        <f t="shared" si="23"/>
        <v>0</v>
      </c>
    </row>
    <row r="39" spans="1:10" x14ac:dyDescent="0.25">
      <c r="B39" s="99" t="s">
        <v>737</v>
      </c>
      <c r="I39" t="str">
        <f t="shared" ref="I39:J39" si="24">J20</f>
        <v>VWCitrix</v>
      </c>
      <c r="J39" s="98" t="str">
        <f t="shared" si="24"/>
        <v>CSN VW</v>
      </c>
    </row>
    <row r="40" spans="1:10" x14ac:dyDescent="0.25">
      <c r="I40" t="str">
        <f>J21</f>
        <v>VWWTS</v>
      </c>
      <c r="J40" s="98">
        <f>K21</f>
        <v>0</v>
      </c>
    </row>
    <row r="41" spans="1:10" x14ac:dyDescent="0.25">
      <c r="I41" t="str">
        <f t="shared" ref="I41:J41" si="25">J22</f>
        <v>VWVolkswagen ePortal</v>
      </c>
      <c r="J41" s="98" t="str">
        <f t="shared" si="25"/>
        <v>CSN VW</v>
      </c>
    </row>
    <row r="42" spans="1:10" x14ac:dyDescent="0.25">
      <c r="I42" t="str">
        <f t="shared" ref="I42:J42" si="26">J23</f>
        <v>VWJIT</v>
      </c>
      <c r="J42" s="98" t="str">
        <f t="shared" si="26"/>
        <v>CSN VW</v>
      </c>
    </row>
    <row r="43" spans="1:10" ht="15.75" thickBot="1" x14ac:dyDescent="0.3">
      <c r="I43" s="113" t="str">
        <f t="shared" ref="I43:J43" si="27">J24</f>
        <v xml:space="preserve">VWsonstiger Service </v>
      </c>
      <c r="J43" s="143" t="str">
        <f t="shared" si="27"/>
        <v>CSN VW</v>
      </c>
    </row>
    <row r="44" spans="1:10" x14ac:dyDescent="0.25">
      <c r="I44" s="142" t="str">
        <f>L7</f>
        <v>AudiHyperKVS</v>
      </c>
      <c r="J44" s="144" t="str">
        <f>M7</f>
        <v>CSN VW</v>
      </c>
    </row>
    <row r="45" spans="1:10" x14ac:dyDescent="0.25">
      <c r="I45" s="142" t="str">
        <f t="shared" ref="I45:J45" si="28">L8</f>
        <v>AudiCONNECT</v>
      </c>
      <c r="J45" s="144" t="str">
        <f t="shared" si="28"/>
        <v>CSN VW</v>
      </c>
    </row>
    <row r="46" spans="1:10" x14ac:dyDescent="0.25">
      <c r="I46" s="142" t="str">
        <f t="shared" ref="I46:J46" si="29">L9</f>
        <v>AudiVW DMS</v>
      </c>
      <c r="J46" s="144" t="str">
        <f t="shared" si="29"/>
        <v>CSN VW</v>
      </c>
    </row>
    <row r="47" spans="1:10" x14ac:dyDescent="0.25">
      <c r="I47" s="142" t="str">
        <f t="shared" ref="I47:J47" si="30">L10</f>
        <v>AudiECA</v>
      </c>
      <c r="J47" s="144" t="str">
        <f t="shared" si="30"/>
        <v>CSN VW</v>
      </c>
    </row>
    <row r="48" spans="1:10" x14ac:dyDescent="0.25">
      <c r="I48" s="142" t="str">
        <f t="shared" ref="I48:J48" si="31">L11</f>
        <v>AudiZMB</v>
      </c>
      <c r="J48" s="144" t="str">
        <f t="shared" si="31"/>
        <v>CSN VW</v>
      </c>
    </row>
    <row r="49" spans="9:10" x14ac:dyDescent="0.25">
      <c r="I49" s="142" t="str">
        <f t="shared" ref="I49:J49" si="32">L12</f>
        <v>AudiSCF</v>
      </c>
      <c r="J49" s="144" t="str">
        <f t="shared" si="32"/>
        <v>CSN VW</v>
      </c>
    </row>
    <row r="50" spans="9:10" x14ac:dyDescent="0.25">
      <c r="I50" s="142" t="str">
        <f t="shared" ref="I50:J50" si="33">L13</f>
        <v>AudiSyncrofit</v>
      </c>
      <c r="J50" s="144" t="str">
        <f t="shared" si="33"/>
        <v>CSN VW</v>
      </c>
    </row>
    <row r="51" spans="9:10" x14ac:dyDescent="0.25">
      <c r="I51" s="142" t="str">
        <f t="shared" ref="I51:J51" si="34">L14</f>
        <v>AudiOFTP2 (CAx-Datenaustausch über Internet)</v>
      </c>
      <c r="J51" s="144" t="str">
        <f t="shared" si="34"/>
        <v>CSN Audi</v>
      </c>
    </row>
    <row r="52" spans="9:10" x14ac:dyDescent="0.25">
      <c r="I52" s="142" t="str">
        <f t="shared" ref="I52:J52" si="35">L15</f>
        <v>AudiSimplX</v>
      </c>
      <c r="J52" s="144" t="str">
        <f t="shared" si="35"/>
        <v>SimplX Audi</v>
      </c>
    </row>
    <row r="53" spans="9:10" x14ac:dyDescent="0.25">
      <c r="I53" s="142" t="str">
        <f t="shared" ref="I53:J53" si="36">L16</f>
        <v>Audi(TE) DMZ Laufwerk</v>
      </c>
      <c r="J53" s="144" t="str">
        <f t="shared" si="36"/>
        <v>CSN Audi</v>
      </c>
    </row>
    <row r="54" spans="9:10" x14ac:dyDescent="0.25">
      <c r="I54" s="142" t="str">
        <f t="shared" ref="I54:J54" si="37">L17</f>
        <v>AudiAudi Mynet</v>
      </c>
      <c r="J54" s="144" t="str">
        <f t="shared" si="37"/>
        <v>CSN Audi</v>
      </c>
    </row>
    <row r="55" spans="9:10" x14ac:dyDescent="0.25">
      <c r="I55" s="142" t="str">
        <f t="shared" ref="I55:J55" si="38">L18</f>
        <v>AudiEDI- bzw. kommerzieller Datenaustausch</v>
      </c>
      <c r="J55" s="144" t="str">
        <f t="shared" si="38"/>
        <v>CSN VW</v>
      </c>
    </row>
    <row r="56" spans="9:10" x14ac:dyDescent="0.25">
      <c r="I56" s="142" t="str">
        <f t="shared" ref="I56:J56" si="39">L19</f>
        <v>AudiQTS</v>
      </c>
      <c r="J56" s="144" t="str">
        <f t="shared" si="39"/>
        <v>CSN Audi</v>
      </c>
    </row>
    <row r="57" spans="9:10" x14ac:dyDescent="0.25">
      <c r="I57" s="142" t="str">
        <f t="shared" ref="I57:J57" si="40">L20</f>
        <v>AudiCitrix</v>
      </c>
      <c r="J57" s="144" t="str">
        <f t="shared" si="40"/>
        <v>CSN Audi</v>
      </c>
    </row>
    <row r="58" spans="9:10" x14ac:dyDescent="0.25">
      <c r="I58" s="142" t="str">
        <f t="shared" ref="I58:J58" si="41">L21</f>
        <v>AudiWTS</v>
      </c>
      <c r="J58" s="144" t="str">
        <f t="shared" si="41"/>
        <v>CSN Audi</v>
      </c>
    </row>
    <row r="59" spans="9:10" x14ac:dyDescent="0.25">
      <c r="I59" s="142" t="str">
        <f t="shared" ref="I59:J59" si="42">L22</f>
        <v>AudiVolkswagen ePortal</v>
      </c>
      <c r="J59" s="144">
        <f t="shared" si="42"/>
        <v>0</v>
      </c>
    </row>
    <row r="60" spans="9:10" x14ac:dyDescent="0.25">
      <c r="I60" s="142" t="str">
        <f t="shared" ref="I60:J60" si="43">L23</f>
        <v>AudiJIT</v>
      </c>
      <c r="J60" s="144" t="str">
        <f t="shared" si="43"/>
        <v>CSN Audi</v>
      </c>
    </row>
    <row r="61" spans="9:10" ht="15.75" thickBot="1" x14ac:dyDescent="0.3">
      <c r="I61" s="145" t="str">
        <f t="shared" ref="I61:J61" si="44">L24</f>
        <v xml:space="preserve">Audisonstiger Service </v>
      </c>
      <c r="J61" s="146" t="str">
        <f t="shared" si="44"/>
        <v>CSN Audi</v>
      </c>
    </row>
    <row r="62" spans="9:10" x14ac:dyDescent="0.25">
      <c r="I62" s="142" t="str">
        <f>N7</f>
        <v>SEATHyperKVS</v>
      </c>
      <c r="J62" s="144" t="str">
        <f>O7</f>
        <v>CSN VW</v>
      </c>
    </row>
    <row r="63" spans="9:10" x14ac:dyDescent="0.25">
      <c r="I63" s="142" t="str">
        <f t="shared" ref="I63:J63" si="45">N8</f>
        <v>SEATCONNECT</v>
      </c>
      <c r="J63" s="144" t="str">
        <f t="shared" si="45"/>
        <v>CSN VW</v>
      </c>
    </row>
    <row r="64" spans="9:10" x14ac:dyDescent="0.25">
      <c r="I64" s="142" t="str">
        <f t="shared" ref="I64:J64" si="46">N9</f>
        <v>SEATVW DMS</v>
      </c>
      <c r="J64" s="144" t="str">
        <f t="shared" si="46"/>
        <v>CSN VW</v>
      </c>
    </row>
    <row r="65" spans="9:10" x14ac:dyDescent="0.25">
      <c r="I65" s="142" t="str">
        <f t="shared" ref="I65:J65" si="47">N10</f>
        <v>SEATECA</v>
      </c>
      <c r="J65" s="144" t="str">
        <f t="shared" si="47"/>
        <v>CSN VW</v>
      </c>
    </row>
    <row r="66" spans="9:10" x14ac:dyDescent="0.25">
      <c r="I66" s="142" t="str">
        <f t="shared" ref="I66:J66" si="48">N11</f>
        <v>SEATZMB</v>
      </c>
      <c r="J66" s="144" t="str">
        <f t="shared" si="48"/>
        <v>CSN VW</v>
      </c>
    </row>
    <row r="67" spans="9:10" x14ac:dyDescent="0.25">
      <c r="I67" s="142" t="str">
        <f t="shared" ref="I67:J67" si="49">N12</f>
        <v>SEATSCF</v>
      </c>
      <c r="J67" s="144" t="str">
        <f t="shared" si="49"/>
        <v>CSN VW</v>
      </c>
    </row>
    <row r="68" spans="9:10" x14ac:dyDescent="0.25">
      <c r="I68" s="142" t="str">
        <f t="shared" ref="I68:J68" si="50">N13</f>
        <v>SEATSyncrofit</v>
      </c>
      <c r="J68" s="144" t="str">
        <f t="shared" si="50"/>
        <v>CSN VW</v>
      </c>
    </row>
    <row r="69" spans="9:10" x14ac:dyDescent="0.25">
      <c r="I69" s="142" t="str">
        <f t="shared" ref="I69:J69" si="51">N14</f>
        <v>SEATOFTP2 (CAx-Datenaustausch über Internet)</v>
      </c>
      <c r="J69" s="144" t="str">
        <f t="shared" si="51"/>
        <v>kein Vertrag</v>
      </c>
    </row>
    <row r="70" spans="9:10" x14ac:dyDescent="0.25">
      <c r="I70" s="142" t="str">
        <f t="shared" ref="I70:J70" si="52">N15</f>
        <v>SEATSimplX</v>
      </c>
      <c r="J70" s="144">
        <f t="shared" si="52"/>
        <v>0</v>
      </c>
    </row>
    <row r="71" spans="9:10" x14ac:dyDescent="0.25">
      <c r="I71" s="142" t="str">
        <f t="shared" ref="I71:J71" si="53">N16</f>
        <v>SEAT(TE) DMZ Laufwerk</v>
      </c>
      <c r="J71" s="144">
        <f t="shared" si="53"/>
        <v>0</v>
      </c>
    </row>
    <row r="72" spans="9:10" x14ac:dyDescent="0.25">
      <c r="I72" s="142" t="str">
        <f t="shared" ref="I72:J72" si="54">N17</f>
        <v>SEATAudi Mynet</v>
      </c>
      <c r="J72" s="144">
        <f t="shared" si="54"/>
        <v>0</v>
      </c>
    </row>
    <row r="73" spans="9:10" x14ac:dyDescent="0.25">
      <c r="I73" s="142" t="str">
        <f t="shared" ref="I73:J73" si="55">N18</f>
        <v>SEATEDI- bzw. kommerzieller Datenaustausch</v>
      </c>
      <c r="J73" s="144">
        <f t="shared" si="55"/>
        <v>0</v>
      </c>
    </row>
    <row r="74" spans="9:10" x14ac:dyDescent="0.25">
      <c r="I74" s="142" t="str">
        <f t="shared" ref="I74:J74" si="56">N19</f>
        <v>SEATQTS</v>
      </c>
      <c r="J74" s="144">
        <f t="shared" si="56"/>
        <v>0</v>
      </c>
    </row>
    <row r="75" spans="9:10" x14ac:dyDescent="0.25">
      <c r="I75" s="142" t="str">
        <f t="shared" ref="I75:J75" si="57">N20</f>
        <v>SEATCitrix</v>
      </c>
      <c r="J75" s="144" t="str">
        <f t="shared" si="57"/>
        <v>CSN VW</v>
      </c>
    </row>
    <row r="76" spans="9:10" x14ac:dyDescent="0.25">
      <c r="I76" s="142" t="str">
        <f t="shared" ref="I76:J76" si="58">N21</f>
        <v>SEATWTS</v>
      </c>
      <c r="J76" s="144">
        <f t="shared" si="58"/>
        <v>0</v>
      </c>
    </row>
    <row r="77" spans="9:10" x14ac:dyDescent="0.25">
      <c r="I77" s="142" t="str">
        <f t="shared" ref="I77:J77" si="59">N22</f>
        <v>SEATVolkswagen ePortal</v>
      </c>
      <c r="J77" s="144" t="str">
        <f t="shared" si="59"/>
        <v>CSN VW</v>
      </c>
    </row>
    <row r="78" spans="9:10" x14ac:dyDescent="0.25">
      <c r="I78" s="142" t="str">
        <f t="shared" ref="I78:J78" si="60">N23</f>
        <v>SEATJIT</v>
      </c>
      <c r="J78" s="144" t="str">
        <f t="shared" si="60"/>
        <v>CSN VW</v>
      </c>
    </row>
    <row r="79" spans="9:10" ht="15.75" thickBot="1" x14ac:dyDescent="0.3">
      <c r="I79" s="145" t="str">
        <f t="shared" ref="I79:J79" si="61">N24</f>
        <v xml:space="preserve">SEATsonstiger Service </v>
      </c>
      <c r="J79" s="146" t="str">
        <f t="shared" si="61"/>
        <v>CSN VW</v>
      </c>
    </row>
    <row r="80" spans="9:10" x14ac:dyDescent="0.25">
      <c r="I80" s="142" t="str">
        <f>P7</f>
        <v>SkodaHyperKVS</v>
      </c>
      <c r="J80" s="144" t="str">
        <f>Q7</f>
        <v>CSN VW</v>
      </c>
    </row>
    <row r="81" spans="9:10" x14ac:dyDescent="0.25">
      <c r="I81" s="142" t="str">
        <f t="shared" ref="I81:J81" si="62">P8</f>
        <v>SkodaCONNECT</v>
      </c>
      <c r="J81" s="144">
        <f t="shared" si="62"/>
        <v>0</v>
      </c>
    </row>
    <row r="82" spans="9:10" x14ac:dyDescent="0.25">
      <c r="I82" s="142" t="str">
        <f t="shared" ref="I82:J82" si="63">P9</f>
        <v>SkodaVW DMS</v>
      </c>
      <c r="J82" s="144" t="str">
        <f t="shared" si="63"/>
        <v>CSN VW</v>
      </c>
    </row>
    <row r="83" spans="9:10" x14ac:dyDescent="0.25">
      <c r="I83" s="142" t="str">
        <f t="shared" ref="I83:J83" si="64">P10</f>
        <v>SkodaECA</v>
      </c>
      <c r="J83" s="144" t="str">
        <f t="shared" si="64"/>
        <v>CSN VW</v>
      </c>
    </row>
    <row r="84" spans="9:10" x14ac:dyDescent="0.25">
      <c r="I84" s="142" t="str">
        <f t="shared" ref="I84:J84" si="65">P11</f>
        <v>SkodaZMB</v>
      </c>
      <c r="J84" s="144" t="str">
        <f t="shared" si="65"/>
        <v>CSN VW</v>
      </c>
    </row>
    <row r="85" spans="9:10" x14ac:dyDescent="0.25">
      <c r="I85" s="142" t="str">
        <f t="shared" ref="I85:J85" si="66">P12</f>
        <v>SkodaSCF</v>
      </c>
      <c r="J85" s="144" t="str">
        <f t="shared" si="66"/>
        <v>CSN VW</v>
      </c>
    </row>
    <row r="86" spans="9:10" x14ac:dyDescent="0.25">
      <c r="I86" s="142" t="str">
        <f t="shared" ref="I86:J86" si="67">P13</f>
        <v>SkodaSyncrofit</v>
      </c>
      <c r="J86" s="144" t="str">
        <f t="shared" si="67"/>
        <v>CSN VW</v>
      </c>
    </row>
    <row r="87" spans="9:10" x14ac:dyDescent="0.25">
      <c r="I87" s="142" t="str">
        <f t="shared" ref="I87:J87" si="68">P14</f>
        <v>SkodaOFTP2 (CAx-Datenaustausch über Internet)</v>
      </c>
      <c r="J87" s="144">
        <f t="shared" si="68"/>
        <v>0</v>
      </c>
    </row>
    <row r="88" spans="9:10" x14ac:dyDescent="0.25">
      <c r="I88" s="142" t="str">
        <f t="shared" ref="I88:J88" si="69">P15</f>
        <v>SkodaSimplX</v>
      </c>
      <c r="J88" s="144">
        <f t="shared" si="69"/>
        <v>0</v>
      </c>
    </row>
    <row r="89" spans="9:10" x14ac:dyDescent="0.25">
      <c r="I89" s="142" t="str">
        <f t="shared" ref="I89:J89" si="70">P16</f>
        <v>Skoda(TE) DMZ Laufwerk</v>
      </c>
      <c r="J89" s="144">
        <f t="shared" si="70"/>
        <v>0</v>
      </c>
    </row>
    <row r="90" spans="9:10" x14ac:dyDescent="0.25">
      <c r="I90" s="142" t="str">
        <f t="shared" ref="I90:J90" si="71">P17</f>
        <v>SkodaAudi Mynet</v>
      </c>
      <c r="J90" s="144">
        <f t="shared" si="71"/>
        <v>0</v>
      </c>
    </row>
    <row r="91" spans="9:10" x14ac:dyDescent="0.25">
      <c r="I91" s="142" t="str">
        <f t="shared" ref="I91:J91" si="72">P18</f>
        <v>SkodaEDI- bzw. kommerzieller Datenaustausch</v>
      </c>
      <c r="J91" s="144" t="str">
        <f t="shared" si="72"/>
        <v>CSN VW</v>
      </c>
    </row>
    <row r="92" spans="9:10" x14ac:dyDescent="0.25">
      <c r="I92" s="142" t="str">
        <f t="shared" ref="I92:J92" si="73">P19</f>
        <v>SkodaQTS</v>
      </c>
      <c r="J92" s="144">
        <f t="shared" si="73"/>
        <v>0</v>
      </c>
    </row>
    <row r="93" spans="9:10" x14ac:dyDescent="0.25">
      <c r="I93" s="142" t="str">
        <f t="shared" ref="I93:J93" si="74">P20</f>
        <v>SkodaCitrix</v>
      </c>
      <c r="J93" s="144" t="str">
        <f t="shared" si="74"/>
        <v>CSN VW</v>
      </c>
    </row>
    <row r="94" spans="9:10" x14ac:dyDescent="0.25">
      <c r="I94" s="142" t="str">
        <f t="shared" ref="I94:J94" si="75">P21</f>
        <v>SkodaWTS</v>
      </c>
      <c r="J94" s="144">
        <f t="shared" si="75"/>
        <v>0</v>
      </c>
    </row>
    <row r="95" spans="9:10" x14ac:dyDescent="0.25">
      <c r="I95" s="142" t="str">
        <f t="shared" ref="I95:J95" si="76">P22</f>
        <v>SkodaVolkswagen ePortal</v>
      </c>
      <c r="J95" s="144" t="str">
        <f t="shared" si="76"/>
        <v>CSN VW</v>
      </c>
    </row>
    <row r="96" spans="9:10" x14ac:dyDescent="0.25">
      <c r="I96" s="142" t="str">
        <f t="shared" ref="I96:J96" si="77">P23</f>
        <v>SkodaJIT</v>
      </c>
      <c r="J96" s="144" t="str">
        <f t="shared" si="77"/>
        <v>CSN VW</v>
      </c>
    </row>
    <row r="97" spans="9:10" ht="15.75" thickBot="1" x14ac:dyDescent="0.3">
      <c r="I97" s="145" t="str">
        <f t="shared" ref="I97:J97" si="78">P24</f>
        <v xml:space="preserve">Skodasonstiger Service </v>
      </c>
      <c r="J97" s="146" t="str">
        <f t="shared" si="78"/>
        <v>CSN VW</v>
      </c>
    </row>
    <row r="98" spans="9:10" x14ac:dyDescent="0.25">
      <c r="I98" s="142" t="str">
        <f>R7</f>
        <v>BentleyHyperKVS</v>
      </c>
      <c r="J98" s="144" t="str">
        <f>S7</f>
        <v>CSN VW</v>
      </c>
    </row>
    <row r="99" spans="9:10" x14ac:dyDescent="0.25">
      <c r="I99" s="142" t="str">
        <f t="shared" ref="I99:J99" si="79">R8</f>
        <v>BentleyCONNECT</v>
      </c>
      <c r="J99" s="144" t="str">
        <f t="shared" si="79"/>
        <v>CSN VW</v>
      </c>
    </row>
    <row r="100" spans="9:10" x14ac:dyDescent="0.25">
      <c r="I100" s="142" t="str">
        <f t="shared" ref="I100:J100" si="80">R9</f>
        <v>BentleyVW DMS</v>
      </c>
      <c r="J100" s="144" t="str">
        <f t="shared" si="80"/>
        <v>CSN VW</v>
      </c>
    </row>
    <row r="101" spans="9:10" x14ac:dyDescent="0.25">
      <c r="I101" s="142" t="str">
        <f t="shared" ref="I101:J101" si="81">R10</f>
        <v>BentleyECA</v>
      </c>
      <c r="J101" s="144" t="str">
        <f t="shared" si="81"/>
        <v>CSN VW</v>
      </c>
    </row>
    <row r="102" spans="9:10" x14ac:dyDescent="0.25">
      <c r="I102" s="142" t="str">
        <f t="shared" ref="I102:J102" si="82">R11</f>
        <v>BentleyZMB</v>
      </c>
      <c r="J102" s="144" t="str">
        <f t="shared" si="82"/>
        <v>CSN VW</v>
      </c>
    </row>
    <row r="103" spans="9:10" x14ac:dyDescent="0.25">
      <c r="I103" s="142" t="str">
        <f t="shared" ref="I103:J103" si="83">R12</f>
        <v>BentleySCF</v>
      </c>
      <c r="J103" s="144" t="str">
        <f t="shared" si="83"/>
        <v>CSN VW</v>
      </c>
    </row>
    <row r="104" spans="9:10" x14ac:dyDescent="0.25">
      <c r="I104" s="142" t="str">
        <f t="shared" ref="I104:J104" si="84">R13</f>
        <v>BentleySyncrofit</v>
      </c>
      <c r="J104" s="144" t="str">
        <f t="shared" si="84"/>
        <v>CSN VW</v>
      </c>
    </row>
    <row r="105" spans="9:10" x14ac:dyDescent="0.25">
      <c r="I105" s="142" t="str">
        <f t="shared" ref="I105:J105" si="85">R14</f>
        <v>BentleyOFTP2 (CAx-Datenaustausch über Internet)</v>
      </c>
      <c r="J105" s="144">
        <f t="shared" si="85"/>
        <v>0</v>
      </c>
    </row>
    <row r="106" spans="9:10" x14ac:dyDescent="0.25">
      <c r="I106" s="142" t="str">
        <f t="shared" ref="I106:J106" si="86">R15</f>
        <v>BentleySimplX</v>
      </c>
      <c r="J106" s="144">
        <f t="shared" si="86"/>
        <v>0</v>
      </c>
    </row>
    <row r="107" spans="9:10" x14ac:dyDescent="0.25">
      <c r="I107" s="142" t="str">
        <f t="shared" ref="I107:J107" si="87">R16</f>
        <v>Bentley(TE) DMZ Laufwerk</v>
      </c>
      <c r="J107" s="144">
        <f t="shared" si="87"/>
        <v>0</v>
      </c>
    </row>
    <row r="108" spans="9:10" x14ac:dyDescent="0.25">
      <c r="I108" s="142" t="str">
        <f t="shared" ref="I108:J108" si="88">R17</f>
        <v>BentleyAudi Mynet</v>
      </c>
      <c r="J108" s="144">
        <f t="shared" si="88"/>
        <v>0</v>
      </c>
    </row>
    <row r="109" spans="9:10" x14ac:dyDescent="0.25">
      <c r="I109" s="142" t="str">
        <f t="shared" ref="I109:J109" si="89">R18</f>
        <v>BentleyEDI- bzw. kommerzieller Datenaustausch</v>
      </c>
      <c r="J109" s="144" t="str">
        <f t="shared" si="89"/>
        <v>CSN VW</v>
      </c>
    </row>
    <row r="110" spans="9:10" x14ac:dyDescent="0.25">
      <c r="I110" s="142" t="str">
        <f t="shared" ref="I110:J110" si="90">R19</f>
        <v>BentleyQTS</v>
      </c>
      <c r="J110" s="144">
        <f t="shared" si="90"/>
        <v>0</v>
      </c>
    </row>
    <row r="111" spans="9:10" x14ac:dyDescent="0.25">
      <c r="I111" s="142" t="str">
        <f t="shared" ref="I111:J111" si="91">R20</f>
        <v>BentleyCitrix</v>
      </c>
      <c r="J111" s="144" t="str">
        <f t="shared" si="91"/>
        <v>CSN VW</v>
      </c>
    </row>
    <row r="112" spans="9:10" x14ac:dyDescent="0.25">
      <c r="I112" s="142" t="str">
        <f t="shared" ref="I112:J112" si="92">R21</f>
        <v>BentleyWTS</v>
      </c>
      <c r="J112" s="144">
        <f t="shared" si="92"/>
        <v>0</v>
      </c>
    </row>
    <row r="113" spans="9:10" x14ac:dyDescent="0.25">
      <c r="I113" s="142" t="str">
        <f t="shared" ref="I113:J113" si="93">R22</f>
        <v>BentleyVolkswagen ePortal</v>
      </c>
      <c r="J113" s="144" t="str">
        <f t="shared" si="93"/>
        <v>CSN VW</v>
      </c>
    </row>
    <row r="114" spans="9:10" x14ac:dyDescent="0.25">
      <c r="I114" s="142" t="str">
        <f t="shared" ref="I114:J114" si="94">R23</f>
        <v>BentleyJIT</v>
      </c>
      <c r="J114" s="144" t="str">
        <f t="shared" si="94"/>
        <v>CSN VW</v>
      </c>
    </row>
    <row r="115" spans="9:10" ht="15.75" thickBot="1" x14ac:dyDescent="0.3">
      <c r="I115" s="145" t="str">
        <f t="shared" ref="I115:J115" si="95">R24</f>
        <v xml:space="preserve">Bentleysonstiger Service </v>
      </c>
      <c r="J115" s="146" t="str">
        <f t="shared" si="95"/>
        <v>CSN VW</v>
      </c>
    </row>
    <row r="116" spans="9:10" x14ac:dyDescent="0.25">
      <c r="I116" s="142" t="str">
        <f>T7</f>
        <v>LamborghiniHyperKVS</v>
      </c>
      <c r="J116" s="144" t="str">
        <f>U7</f>
        <v>CSN VW</v>
      </c>
    </row>
    <row r="117" spans="9:10" x14ac:dyDescent="0.25">
      <c r="I117" s="142" t="str">
        <f t="shared" ref="I117:J117" si="96">T8</f>
        <v>LamborghiniCONNECT</v>
      </c>
      <c r="J117" s="144" t="str">
        <f t="shared" si="96"/>
        <v>CSN VW</v>
      </c>
    </row>
    <row r="118" spans="9:10" x14ac:dyDescent="0.25">
      <c r="I118" s="142" t="str">
        <f t="shared" ref="I118:J118" si="97">T9</f>
        <v>LamborghiniVW DMS</v>
      </c>
      <c r="J118" s="144" t="str">
        <f t="shared" si="97"/>
        <v>CSN VW</v>
      </c>
    </row>
    <row r="119" spans="9:10" x14ac:dyDescent="0.25">
      <c r="I119" s="142" t="str">
        <f t="shared" ref="I119:J119" si="98">T10</f>
        <v>LamborghiniECA</v>
      </c>
      <c r="J119" s="144" t="str">
        <f t="shared" si="98"/>
        <v>CSN VW</v>
      </c>
    </row>
    <row r="120" spans="9:10" x14ac:dyDescent="0.25">
      <c r="I120" s="142" t="str">
        <f t="shared" ref="I120:J120" si="99">T11</f>
        <v>LamborghiniZMB</v>
      </c>
      <c r="J120" s="144" t="str">
        <f t="shared" si="99"/>
        <v>CSN VW</v>
      </c>
    </row>
    <row r="121" spans="9:10" x14ac:dyDescent="0.25">
      <c r="I121" s="142" t="str">
        <f t="shared" ref="I121:J121" si="100">T12</f>
        <v>LamborghiniSCF</v>
      </c>
      <c r="J121" s="144" t="str">
        <f t="shared" si="100"/>
        <v>CSN VW</v>
      </c>
    </row>
    <row r="122" spans="9:10" x14ac:dyDescent="0.25">
      <c r="I122" s="142" t="str">
        <f t="shared" ref="I122:J122" si="101">T13</f>
        <v>LamborghiniSyncrofit</v>
      </c>
      <c r="J122" s="144" t="str">
        <f t="shared" si="101"/>
        <v>CSN VW</v>
      </c>
    </row>
    <row r="123" spans="9:10" x14ac:dyDescent="0.25">
      <c r="I123" s="142" t="str">
        <f t="shared" ref="I123:J123" si="102">T14</f>
        <v>LamborghiniOFTP2 (CAx-Datenaustausch über Internet)</v>
      </c>
      <c r="J123" s="144">
        <f t="shared" si="102"/>
        <v>0</v>
      </c>
    </row>
    <row r="124" spans="9:10" x14ac:dyDescent="0.25">
      <c r="I124" s="142" t="str">
        <f t="shared" ref="I124:J124" si="103">T15</f>
        <v>LamborghiniSimplX</v>
      </c>
      <c r="J124" s="144">
        <f t="shared" si="103"/>
        <v>0</v>
      </c>
    </row>
    <row r="125" spans="9:10" x14ac:dyDescent="0.25">
      <c r="I125" s="142" t="str">
        <f t="shared" ref="I125:J125" si="104">T16</f>
        <v>Lamborghini(TE) DMZ Laufwerk</v>
      </c>
      <c r="J125" s="144">
        <f t="shared" si="104"/>
        <v>0</v>
      </c>
    </row>
    <row r="126" spans="9:10" x14ac:dyDescent="0.25">
      <c r="I126" s="142" t="str">
        <f t="shared" ref="I126:J126" si="105">T17</f>
        <v>LamborghiniAudi Mynet</v>
      </c>
      <c r="J126" s="144">
        <f t="shared" si="105"/>
        <v>0</v>
      </c>
    </row>
    <row r="127" spans="9:10" x14ac:dyDescent="0.25">
      <c r="I127" s="142" t="str">
        <f t="shared" ref="I127:J127" si="106">T18</f>
        <v>LamborghiniEDI- bzw. kommerzieller Datenaustausch</v>
      </c>
      <c r="J127" s="144" t="str">
        <f t="shared" si="106"/>
        <v>CSN VW</v>
      </c>
    </row>
    <row r="128" spans="9:10" x14ac:dyDescent="0.25">
      <c r="I128" s="142" t="str">
        <f t="shared" ref="I128:J128" si="107">T19</f>
        <v>LamborghiniQTS</v>
      </c>
      <c r="J128" s="144">
        <f t="shared" si="107"/>
        <v>0</v>
      </c>
    </row>
    <row r="129" spans="9:10" x14ac:dyDescent="0.25">
      <c r="I129" s="142" t="str">
        <f t="shared" ref="I129:J129" si="108">T20</f>
        <v>LamborghiniCitrix</v>
      </c>
      <c r="J129" s="144" t="str">
        <f t="shared" si="108"/>
        <v>CSN VW</v>
      </c>
    </row>
    <row r="130" spans="9:10" x14ac:dyDescent="0.25">
      <c r="I130" s="142" t="str">
        <f t="shared" ref="I130:J130" si="109">T21</f>
        <v>LamborghiniWTS</v>
      </c>
      <c r="J130" s="144">
        <f t="shared" si="109"/>
        <v>0</v>
      </c>
    </row>
    <row r="131" spans="9:10" x14ac:dyDescent="0.25">
      <c r="I131" s="142" t="str">
        <f t="shared" ref="I131:J131" si="110">T22</f>
        <v>LamborghiniVolkswagen ePortal</v>
      </c>
      <c r="J131" s="144" t="str">
        <f t="shared" si="110"/>
        <v>CSN VW</v>
      </c>
    </row>
    <row r="132" spans="9:10" x14ac:dyDescent="0.25">
      <c r="I132" s="142" t="str">
        <f t="shared" ref="I132:J132" si="111">T23</f>
        <v>LamborghiniJIT</v>
      </c>
      <c r="J132" s="144" t="str">
        <f t="shared" si="111"/>
        <v>CSN VW</v>
      </c>
    </row>
    <row r="133" spans="9:10" ht="15.75" thickBot="1" x14ac:dyDescent="0.3">
      <c r="I133" s="145" t="str">
        <f>T24</f>
        <v xml:space="preserve">Lamborghinisonstiger Service </v>
      </c>
      <c r="J133" s="146" t="str">
        <f>U24</f>
        <v>CSN VW</v>
      </c>
    </row>
    <row r="134" spans="9:10" x14ac:dyDescent="0.25">
      <c r="I134" s="142" t="str">
        <f>V7</f>
        <v>BugattiHyperKVS</v>
      </c>
      <c r="J134" s="144" t="str">
        <f>W7</f>
        <v>CSN VW</v>
      </c>
    </row>
    <row r="135" spans="9:10" x14ac:dyDescent="0.25">
      <c r="I135" s="142" t="str">
        <f t="shared" ref="I135:J135" si="112">V8</f>
        <v>BugattiCONNECT</v>
      </c>
      <c r="J135" s="144" t="str">
        <f t="shared" si="112"/>
        <v>CSN VW</v>
      </c>
    </row>
    <row r="136" spans="9:10" x14ac:dyDescent="0.25">
      <c r="I136" s="142" t="str">
        <f t="shared" ref="I136:J136" si="113">V9</f>
        <v>BugattiVW DMS</v>
      </c>
      <c r="J136" s="144" t="str">
        <f t="shared" si="113"/>
        <v>CSN VW</v>
      </c>
    </row>
    <row r="137" spans="9:10" x14ac:dyDescent="0.25">
      <c r="I137" s="142" t="str">
        <f t="shared" ref="I137:J137" si="114">V10</f>
        <v>BugattiECA</v>
      </c>
      <c r="J137" s="144" t="str">
        <f t="shared" si="114"/>
        <v>CSN VW</v>
      </c>
    </row>
    <row r="138" spans="9:10" x14ac:dyDescent="0.25">
      <c r="I138" s="142" t="str">
        <f t="shared" ref="I138:J138" si="115">V11</f>
        <v>BugattiZMB</v>
      </c>
      <c r="J138" s="144" t="str">
        <f t="shared" si="115"/>
        <v>CSN VW</v>
      </c>
    </row>
    <row r="139" spans="9:10" x14ac:dyDescent="0.25">
      <c r="I139" s="142" t="str">
        <f t="shared" ref="I139:J139" si="116">V12</f>
        <v>BugattiSCF</v>
      </c>
      <c r="J139" s="144" t="str">
        <f t="shared" si="116"/>
        <v>CSN VW</v>
      </c>
    </row>
    <row r="140" spans="9:10" x14ac:dyDescent="0.25">
      <c r="I140" s="142" t="str">
        <f t="shared" ref="I140:J140" si="117">V13</f>
        <v>BugattiSyncrofit</v>
      </c>
      <c r="J140" s="144" t="str">
        <f t="shared" si="117"/>
        <v>CSN VW</v>
      </c>
    </row>
    <row r="141" spans="9:10" x14ac:dyDescent="0.25">
      <c r="I141" s="142" t="str">
        <f t="shared" ref="I141:J141" si="118">V14</f>
        <v>BugattiOFTP2 (CAx-Datenaustausch über Internet)</v>
      </c>
      <c r="J141" s="144">
        <f t="shared" si="118"/>
        <v>0</v>
      </c>
    </row>
    <row r="142" spans="9:10" x14ac:dyDescent="0.25">
      <c r="I142" s="142" t="str">
        <f t="shared" ref="I142:J142" si="119">V15</f>
        <v>BugattiSimplX</v>
      </c>
      <c r="J142" s="144">
        <f t="shared" si="119"/>
        <v>0</v>
      </c>
    </row>
    <row r="143" spans="9:10" x14ac:dyDescent="0.25">
      <c r="I143" s="142" t="str">
        <f t="shared" ref="I143:J143" si="120">V16</f>
        <v>Bugatti(TE) DMZ Laufwerk</v>
      </c>
      <c r="J143" s="144">
        <f t="shared" si="120"/>
        <v>0</v>
      </c>
    </row>
    <row r="144" spans="9:10" x14ac:dyDescent="0.25">
      <c r="I144" s="142" t="str">
        <f t="shared" ref="I144:J144" si="121">V17</f>
        <v>BugattiAudi Mynet</v>
      </c>
      <c r="J144" s="144">
        <f t="shared" si="121"/>
        <v>0</v>
      </c>
    </row>
    <row r="145" spans="9:10" x14ac:dyDescent="0.25">
      <c r="I145" s="142" t="str">
        <f t="shared" ref="I145:J145" si="122">V18</f>
        <v>BugattiEDI- bzw. kommerzieller Datenaustausch</v>
      </c>
      <c r="J145" s="144" t="str">
        <f t="shared" si="122"/>
        <v>CSN VW</v>
      </c>
    </row>
    <row r="146" spans="9:10" x14ac:dyDescent="0.25">
      <c r="I146" s="142" t="str">
        <f t="shared" ref="I146:J146" si="123">V19</f>
        <v>BugattiQTS</v>
      </c>
      <c r="J146" s="144">
        <f t="shared" si="123"/>
        <v>0</v>
      </c>
    </row>
    <row r="147" spans="9:10" x14ac:dyDescent="0.25">
      <c r="I147" s="142" t="str">
        <f t="shared" ref="I147:J147" si="124">V20</f>
        <v>BugattiCitrix</v>
      </c>
      <c r="J147" s="144" t="str">
        <f t="shared" si="124"/>
        <v>CSN VW</v>
      </c>
    </row>
    <row r="148" spans="9:10" x14ac:dyDescent="0.25">
      <c r="I148" s="142" t="str">
        <f t="shared" ref="I148:J148" si="125">V21</f>
        <v>BugattiWTS</v>
      </c>
      <c r="J148" s="144">
        <f t="shared" si="125"/>
        <v>0</v>
      </c>
    </row>
    <row r="149" spans="9:10" x14ac:dyDescent="0.25">
      <c r="I149" s="142" t="str">
        <f t="shared" ref="I149:J149" si="126">V22</f>
        <v>BugattiVolkswagen ePortal</v>
      </c>
      <c r="J149" s="144" t="str">
        <f t="shared" si="126"/>
        <v>CSN VW</v>
      </c>
    </row>
    <row r="150" spans="9:10" x14ac:dyDescent="0.25">
      <c r="I150" s="142" t="str">
        <f t="shared" ref="I150:J150" si="127">V23</f>
        <v>BugattiJIT</v>
      </c>
      <c r="J150" s="144" t="str">
        <f t="shared" si="127"/>
        <v>CSN VW</v>
      </c>
    </row>
    <row r="151" spans="9:10" ht="15.75" thickBot="1" x14ac:dyDescent="0.3">
      <c r="I151" s="145" t="str">
        <f>V24</f>
        <v xml:space="preserve">Bugattisonstiger Service </v>
      </c>
      <c r="J151" s="146" t="str">
        <f>W24</f>
        <v>CSN VW</v>
      </c>
    </row>
    <row r="152" spans="9:10" x14ac:dyDescent="0.25">
      <c r="I152" s="142" t="str">
        <f>X7</f>
        <v>PorscheHyperKVS</v>
      </c>
      <c r="J152" s="144" t="str">
        <f>Y7</f>
        <v>CSN VW</v>
      </c>
    </row>
    <row r="153" spans="9:10" x14ac:dyDescent="0.25">
      <c r="I153" s="142" t="str">
        <f t="shared" ref="I153:J153" si="128">X8</f>
        <v>PorscheCONNECT</v>
      </c>
      <c r="J153" s="144" t="str">
        <f t="shared" si="128"/>
        <v>CSN VW</v>
      </c>
    </row>
    <row r="154" spans="9:10" x14ac:dyDescent="0.25">
      <c r="I154" s="142" t="str">
        <f t="shared" ref="I154:J154" si="129">X9</f>
        <v>PorscheVW DMS</v>
      </c>
      <c r="J154" s="144" t="str">
        <f t="shared" si="129"/>
        <v>CSN VW</v>
      </c>
    </row>
    <row r="155" spans="9:10" x14ac:dyDescent="0.25">
      <c r="I155" s="142" t="str">
        <f t="shared" ref="I155:J155" si="130">X10</f>
        <v>PorscheECA</v>
      </c>
      <c r="J155" s="144" t="str">
        <f t="shared" si="130"/>
        <v>CSN VW</v>
      </c>
    </row>
    <row r="156" spans="9:10" x14ac:dyDescent="0.25">
      <c r="I156" s="142" t="str">
        <f t="shared" ref="I156:J156" si="131">X11</f>
        <v>PorscheZMB</v>
      </c>
      <c r="J156" s="144" t="str">
        <f t="shared" si="131"/>
        <v>CSN VW</v>
      </c>
    </row>
    <row r="157" spans="9:10" x14ac:dyDescent="0.25">
      <c r="I157" s="142" t="str">
        <f t="shared" ref="I157:J157" si="132">X12</f>
        <v>PorscheSCF</v>
      </c>
      <c r="J157" s="144" t="str">
        <f t="shared" si="132"/>
        <v>CSN VW</v>
      </c>
    </row>
    <row r="158" spans="9:10" x14ac:dyDescent="0.25">
      <c r="I158" s="142" t="str">
        <f t="shared" ref="I158:J158" si="133">X13</f>
        <v>PorscheSyncrofit</v>
      </c>
      <c r="J158" s="144" t="str">
        <f t="shared" si="133"/>
        <v>CSN VW</v>
      </c>
    </row>
    <row r="159" spans="9:10" x14ac:dyDescent="0.25">
      <c r="I159" s="142" t="str">
        <f t="shared" ref="I159:J159" si="134">X14</f>
        <v>PorscheOFTP2 (CAx-Datenaustausch über Internet)</v>
      </c>
      <c r="J159" s="144">
        <f t="shared" si="134"/>
        <v>0</v>
      </c>
    </row>
    <row r="160" spans="9:10" x14ac:dyDescent="0.25">
      <c r="I160" s="142" t="str">
        <f t="shared" ref="I160:J160" si="135">X15</f>
        <v>PorscheSimplX</v>
      </c>
      <c r="J160" s="144">
        <f t="shared" si="135"/>
        <v>0</v>
      </c>
    </row>
    <row r="161" spans="9:10" x14ac:dyDescent="0.25">
      <c r="I161" s="142" t="str">
        <f t="shared" ref="I161:J161" si="136">X16</f>
        <v>Porsche(TE) DMZ Laufwerk</v>
      </c>
      <c r="J161" s="144">
        <f t="shared" si="136"/>
        <v>0</v>
      </c>
    </row>
    <row r="162" spans="9:10" x14ac:dyDescent="0.25">
      <c r="I162" s="142" t="str">
        <f t="shared" ref="I162:J162" si="137">X17</f>
        <v>PorscheAudi Mynet</v>
      </c>
      <c r="J162" s="144">
        <f t="shared" si="137"/>
        <v>0</v>
      </c>
    </row>
    <row r="163" spans="9:10" x14ac:dyDescent="0.25">
      <c r="I163" s="142" t="str">
        <f t="shared" ref="I163:J163" si="138">X18</f>
        <v>PorscheEDI- bzw. kommerzieller Datenaustausch</v>
      </c>
      <c r="J163" s="144" t="str">
        <f t="shared" si="138"/>
        <v>CSN VW</v>
      </c>
    </row>
    <row r="164" spans="9:10" x14ac:dyDescent="0.25">
      <c r="I164" s="142" t="str">
        <f t="shared" ref="I164:J164" si="139">X19</f>
        <v>PorscheQTS</v>
      </c>
      <c r="J164" s="144">
        <f t="shared" si="139"/>
        <v>0</v>
      </c>
    </row>
    <row r="165" spans="9:10" x14ac:dyDescent="0.25">
      <c r="I165" s="142" t="str">
        <f t="shared" ref="I165:J165" si="140">X20</f>
        <v>PorscheCitrix</v>
      </c>
      <c r="J165" s="144" t="str">
        <f t="shared" si="140"/>
        <v>CSN VW</v>
      </c>
    </row>
    <row r="166" spans="9:10" x14ac:dyDescent="0.25">
      <c r="I166" s="142" t="str">
        <f t="shared" ref="I166:J166" si="141">X21</f>
        <v>PorscheWTS</v>
      </c>
      <c r="J166" s="144">
        <f t="shared" si="141"/>
        <v>0</v>
      </c>
    </row>
    <row r="167" spans="9:10" x14ac:dyDescent="0.25">
      <c r="I167" s="142" t="str">
        <f t="shared" ref="I167:J167" si="142">X22</f>
        <v>PorscheVolkswagen ePortal</v>
      </c>
      <c r="J167" s="144" t="str">
        <f t="shared" si="142"/>
        <v>CSN VW</v>
      </c>
    </row>
    <row r="168" spans="9:10" x14ac:dyDescent="0.25">
      <c r="I168" s="142" t="str">
        <f t="shared" ref="I168:J168" si="143">X23</f>
        <v>PorscheJIT</v>
      </c>
      <c r="J168" s="144" t="str">
        <f t="shared" si="143"/>
        <v>CSN VW</v>
      </c>
    </row>
    <row r="169" spans="9:10" x14ac:dyDescent="0.25">
      <c r="I169" s="142" t="str">
        <f t="shared" ref="I169:J169" si="144">X24</f>
        <v xml:space="preserve">Porschesonstiger Service </v>
      </c>
      <c r="J169" s="144" t="str">
        <f t="shared" si="144"/>
        <v>CSN VW</v>
      </c>
    </row>
    <row r="170" spans="9:10" x14ac:dyDescent="0.25">
      <c r="I170" s="142"/>
      <c r="J170" s="144"/>
    </row>
    <row r="171" spans="9:10" x14ac:dyDescent="0.25">
      <c r="I171" s="142"/>
      <c r="J171" s="144"/>
    </row>
  </sheetData>
  <sheetProtection algorithmName="SHA-512" hashValue="9RgBYfXL+CeIQghRHc5NF2yK2d1g4OqtSHb5II3CN4bRp6pd0jrHyN05sQFckJXvgyWvl9/Hg8Pwy5KNgVLiHw==" saltValue="YR0lnVGlRntuOzpRj1zU/g==" spinCount="100000" sheet="1" objects="1" scenarios="1"/>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8"/>
  <sheetViews>
    <sheetView topLeftCell="I1" workbookViewId="0">
      <selection activeCell="H1" sqref="A1:H1048576"/>
    </sheetView>
  </sheetViews>
  <sheetFormatPr baseColWidth="10" defaultRowHeight="15" x14ac:dyDescent="0.25"/>
  <cols>
    <col min="1" max="1" width="32.85546875" hidden="1" customWidth="1"/>
    <col min="2" max="6" width="11.42578125" hidden="1" customWidth="1"/>
    <col min="7" max="7" width="48.140625" hidden="1" customWidth="1"/>
    <col min="8" max="8" width="11.42578125" hidden="1" customWidth="1"/>
    <col min="9" max="9" width="11.42578125" customWidth="1"/>
  </cols>
  <sheetData>
    <row r="1" spans="1:10" x14ac:dyDescent="0.25">
      <c r="A1" s="1" t="s">
        <v>21</v>
      </c>
      <c r="D1" s="701" t="s">
        <v>785</v>
      </c>
      <c r="E1" s="701"/>
      <c r="F1" s="701"/>
      <c r="G1" s="703" t="s">
        <v>971</v>
      </c>
      <c r="H1" s="701"/>
      <c r="J1" s="791" t="s">
        <v>1033</v>
      </c>
    </row>
    <row r="2" spans="1:10" x14ac:dyDescent="0.25">
      <c r="A2" s="1" t="s">
        <v>22</v>
      </c>
      <c r="D2" s="701" t="s">
        <v>787</v>
      </c>
      <c r="E2" s="701"/>
      <c r="F2" s="701"/>
      <c r="G2" s="701" t="s">
        <v>972</v>
      </c>
      <c r="H2" s="701">
        <v>1</v>
      </c>
      <c r="J2" s="792" t="s">
        <v>1072</v>
      </c>
    </row>
    <row r="3" spans="1:10" x14ac:dyDescent="0.25">
      <c r="A3" s="2" t="s">
        <v>10</v>
      </c>
      <c r="D3" s="701" t="s">
        <v>788</v>
      </c>
      <c r="E3" s="701"/>
      <c r="F3" s="701"/>
      <c r="G3" s="701" t="s">
        <v>973</v>
      </c>
      <c r="H3" s="701">
        <v>1</v>
      </c>
    </row>
    <row r="4" spans="1:10" x14ac:dyDescent="0.25">
      <c r="A4" s="1" t="s">
        <v>23</v>
      </c>
      <c r="D4" s="701" t="s">
        <v>786</v>
      </c>
      <c r="E4" s="701"/>
      <c r="F4" s="701"/>
      <c r="G4" s="701" t="s">
        <v>974</v>
      </c>
      <c r="H4" s="701">
        <v>1</v>
      </c>
    </row>
    <row r="5" spans="1:10" x14ac:dyDescent="0.25">
      <c r="A5" s="1"/>
      <c r="D5" s="701" t="s">
        <v>321</v>
      </c>
      <c r="E5" s="701"/>
      <c r="F5" s="701"/>
      <c r="G5" s="701" t="s">
        <v>975</v>
      </c>
      <c r="H5" s="701">
        <v>1</v>
      </c>
    </row>
    <row r="6" spans="1:10" x14ac:dyDescent="0.25">
      <c r="A6" s="1" t="s">
        <v>813</v>
      </c>
      <c r="D6" s="701"/>
      <c r="E6" s="701"/>
      <c r="F6" s="701"/>
      <c r="G6" s="701" t="s">
        <v>976</v>
      </c>
      <c r="H6" s="701">
        <v>1</v>
      </c>
    </row>
    <row r="7" spans="1:10" x14ac:dyDescent="0.25">
      <c r="A7" s="1" t="s">
        <v>814</v>
      </c>
      <c r="D7" s="701"/>
      <c r="E7" s="701"/>
      <c r="F7" s="701"/>
      <c r="G7" s="701" t="s">
        <v>977</v>
      </c>
      <c r="H7" s="701">
        <v>1</v>
      </c>
    </row>
    <row r="8" spans="1:10" x14ac:dyDescent="0.25">
      <c r="D8" s="701"/>
      <c r="E8" s="701"/>
      <c r="F8" s="701"/>
      <c r="G8" s="701" t="s">
        <v>978</v>
      </c>
      <c r="H8" s="701">
        <v>1</v>
      </c>
    </row>
    <row r="9" spans="1:10" x14ac:dyDescent="0.25">
      <c r="A9" s="1" t="s">
        <v>35</v>
      </c>
      <c r="D9" s="701"/>
      <c r="E9" s="701"/>
      <c r="F9" s="701"/>
      <c r="G9" s="701" t="s">
        <v>979</v>
      </c>
      <c r="H9" s="701">
        <v>1</v>
      </c>
    </row>
    <row r="10" spans="1:10" x14ac:dyDescent="0.25">
      <c r="A10" s="1" t="s">
        <v>36</v>
      </c>
      <c r="D10" s="701"/>
      <c r="E10" s="701"/>
      <c r="F10" s="701"/>
      <c r="G10" s="701" t="s">
        <v>980</v>
      </c>
      <c r="H10" s="701">
        <v>1</v>
      </c>
    </row>
    <row r="11" spans="1:10" x14ac:dyDescent="0.25">
      <c r="A11" s="1" t="s">
        <v>37</v>
      </c>
      <c r="D11" s="701"/>
      <c r="E11" s="701"/>
      <c r="F11" s="701"/>
      <c r="G11" s="701" t="s">
        <v>981</v>
      </c>
      <c r="H11" s="701">
        <v>1</v>
      </c>
    </row>
    <row r="12" spans="1:10" x14ac:dyDescent="0.25">
      <c r="A12" s="1" t="s">
        <v>38</v>
      </c>
      <c r="D12" s="701"/>
      <c r="E12" s="701"/>
      <c r="F12" s="701"/>
      <c r="G12" s="701" t="s">
        <v>982</v>
      </c>
      <c r="H12" s="701">
        <v>1</v>
      </c>
    </row>
    <row r="13" spans="1:10" x14ac:dyDescent="0.25">
      <c r="A13" s="1"/>
      <c r="D13" s="701"/>
      <c r="E13" s="701"/>
      <c r="F13" s="701"/>
      <c r="G13" s="701" t="s">
        <v>983</v>
      </c>
      <c r="H13" s="701">
        <v>1</v>
      </c>
    </row>
    <row r="14" spans="1:10" x14ac:dyDescent="0.25">
      <c r="A14" s="1" t="s">
        <v>39</v>
      </c>
      <c r="D14" s="701"/>
      <c r="E14" s="701"/>
      <c r="F14" s="701"/>
      <c r="G14" s="701" t="s">
        <v>984</v>
      </c>
      <c r="H14" s="701">
        <v>1</v>
      </c>
    </row>
    <row r="15" spans="1:10" x14ac:dyDescent="0.25">
      <c r="A15" s="1" t="s">
        <v>40</v>
      </c>
      <c r="D15" s="701"/>
      <c r="E15" s="701"/>
      <c r="F15" s="701"/>
      <c r="G15" s="701" t="s">
        <v>985</v>
      </c>
      <c r="H15" s="701">
        <v>1</v>
      </c>
    </row>
    <row r="16" spans="1:10" x14ac:dyDescent="0.25">
      <c r="A16" s="1" t="s">
        <v>41</v>
      </c>
      <c r="D16" s="701"/>
      <c r="E16" s="701"/>
      <c r="F16" s="701"/>
      <c r="G16" s="701" t="s">
        <v>986</v>
      </c>
      <c r="H16" s="701">
        <v>1</v>
      </c>
    </row>
    <row r="17" spans="1:8" x14ac:dyDescent="0.25">
      <c r="A17" s="1" t="s">
        <v>42</v>
      </c>
      <c r="D17" s="701"/>
      <c r="E17" s="701"/>
      <c r="F17" s="701"/>
      <c r="G17" s="701" t="s">
        <v>987</v>
      </c>
      <c r="H17" s="701">
        <v>1</v>
      </c>
    </row>
    <row r="18" spans="1:8" x14ac:dyDescent="0.25">
      <c r="A18" s="1"/>
      <c r="D18" s="701"/>
      <c r="E18" s="701"/>
      <c r="F18" s="701"/>
      <c r="G18" s="701" t="s">
        <v>988</v>
      </c>
      <c r="H18" s="701">
        <v>1</v>
      </c>
    </row>
    <row r="19" spans="1:8" x14ac:dyDescent="0.25">
      <c r="A19" s="1" t="s">
        <v>24</v>
      </c>
      <c r="D19" s="701"/>
      <c r="E19" s="701"/>
      <c r="F19" s="701"/>
      <c r="G19" s="701" t="s">
        <v>990</v>
      </c>
      <c r="H19" s="701">
        <v>1</v>
      </c>
    </row>
    <row r="20" spans="1:8" x14ac:dyDescent="0.25">
      <c r="A20" s="1" t="s">
        <v>43</v>
      </c>
      <c r="G20" t="s">
        <v>986</v>
      </c>
      <c r="H20">
        <v>1</v>
      </c>
    </row>
    <row r="21" spans="1:8" x14ac:dyDescent="0.25">
      <c r="A21" s="1"/>
      <c r="G21" t="s">
        <v>1014</v>
      </c>
      <c r="H21">
        <v>1</v>
      </c>
    </row>
    <row r="22" spans="1:8" x14ac:dyDescent="0.25">
      <c r="A22" s="1" t="s">
        <v>25</v>
      </c>
      <c r="G22" t="s">
        <v>1015</v>
      </c>
      <c r="H22">
        <v>1</v>
      </c>
    </row>
    <row r="23" spans="1:8" x14ac:dyDescent="0.25">
      <c r="A23" s="1" t="s">
        <v>26</v>
      </c>
      <c r="G23" t="s">
        <v>1016</v>
      </c>
      <c r="H23">
        <v>1</v>
      </c>
    </row>
    <row r="24" spans="1:8" x14ac:dyDescent="0.25">
      <c r="A24" s="1" t="s">
        <v>27</v>
      </c>
      <c r="G24" t="s">
        <v>1017</v>
      </c>
      <c r="H24">
        <v>1</v>
      </c>
    </row>
    <row r="25" spans="1:8" x14ac:dyDescent="0.25">
      <c r="A25" s="1" t="s">
        <v>28</v>
      </c>
      <c r="G25" t="s">
        <v>1018</v>
      </c>
      <c r="H25">
        <v>1</v>
      </c>
    </row>
    <row r="26" spans="1:8" x14ac:dyDescent="0.25">
      <c r="G26" t="s">
        <v>1019</v>
      </c>
      <c r="H26">
        <v>1</v>
      </c>
    </row>
    <row r="27" spans="1:8" x14ac:dyDescent="0.25">
      <c r="A27" s="1" t="s">
        <v>30</v>
      </c>
      <c r="G27" t="s">
        <v>1020</v>
      </c>
      <c r="H27">
        <v>1</v>
      </c>
    </row>
    <row r="28" spans="1:8" x14ac:dyDescent="0.25">
      <c r="A28" s="1" t="s">
        <v>3</v>
      </c>
      <c r="G28" t="s">
        <v>1037</v>
      </c>
      <c r="H28">
        <v>1</v>
      </c>
    </row>
    <row r="29" spans="1:8" x14ac:dyDescent="0.25">
      <c r="A29" s="1" t="s">
        <v>4</v>
      </c>
      <c r="G29" t="s">
        <v>1038</v>
      </c>
      <c r="H29">
        <v>1</v>
      </c>
    </row>
    <row r="30" spans="1:8" x14ac:dyDescent="0.25">
      <c r="A30" s="1" t="s">
        <v>44</v>
      </c>
      <c r="G30" t="s">
        <v>1039</v>
      </c>
      <c r="H30">
        <v>1</v>
      </c>
    </row>
    <row r="31" spans="1:8" x14ac:dyDescent="0.25">
      <c r="A31" s="1" t="s">
        <v>31</v>
      </c>
      <c r="G31" t="s">
        <v>1040</v>
      </c>
      <c r="H31">
        <v>1</v>
      </c>
    </row>
    <row r="32" spans="1:8" x14ac:dyDescent="0.25">
      <c r="A32" s="1" t="s">
        <v>5</v>
      </c>
      <c r="G32" t="s">
        <v>1069</v>
      </c>
      <c r="H32">
        <v>1</v>
      </c>
    </row>
    <row r="33" spans="1:8" x14ac:dyDescent="0.25">
      <c r="A33" s="1" t="s">
        <v>32</v>
      </c>
      <c r="G33" t="s">
        <v>983</v>
      </c>
      <c r="H33">
        <v>1</v>
      </c>
    </row>
    <row r="34" spans="1:8" ht="30" x14ac:dyDescent="0.25">
      <c r="A34" s="1" t="s">
        <v>33</v>
      </c>
      <c r="G34" s="386" t="s">
        <v>1070</v>
      </c>
      <c r="H34">
        <v>1</v>
      </c>
    </row>
    <row r="35" spans="1:8" ht="45" x14ac:dyDescent="0.25">
      <c r="A35" s="1" t="s">
        <v>7</v>
      </c>
      <c r="G35" s="386" t="s">
        <v>1071</v>
      </c>
      <c r="H35">
        <v>1</v>
      </c>
    </row>
    <row r="36" spans="1:8" x14ac:dyDescent="0.25">
      <c r="A36" s="1" t="s">
        <v>8</v>
      </c>
      <c r="G36" t="s">
        <v>1126</v>
      </c>
      <c r="H36" s="701">
        <v>1</v>
      </c>
    </row>
    <row r="37" spans="1:8" x14ac:dyDescent="0.25">
      <c r="G37" t="s">
        <v>1130</v>
      </c>
      <c r="H37">
        <v>1</v>
      </c>
    </row>
    <row r="42" spans="1:8" x14ac:dyDescent="0.25">
      <c r="A42" s="703" t="s">
        <v>1100</v>
      </c>
      <c r="B42" s="701"/>
      <c r="C42" s="701"/>
      <c r="D42" s="701"/>
    </row>
    <row r="43" spans="1:8" x14ac:dyDescent="0.25">
      <c r="A43" s="701"/>
      <c r="B43" s="701"/>
      <c r="C43" s="701"/>
      <c r="D43" s="701"/>
    </row>
    <row r="44" spans="1:8" x14ac:dyDescent="0.25">
      <c r="A44" s="885" t="s">
        <v>1109</v>
      </c>
      <c r="B44" s="701"/>
      <c r="C44" s="701"/>
      <c r="D44" s="701"/>
    </row>
    <row r="45" spans="1:8" x14ac:dyDescent="0.25">
      <c r="A45" s="701" t="s">
        <v>1113</v>
      </c>
      <c r="B45" s="701" t="s">
        <v>1101</v>
      </c>
      <c r="C45" s="701"/>
      <c r="D45" s="701"/>
    </row>
    <row r="46" spans="1:8" x14ac:dyDescent="0.25">
      <c r="A46" s="701" t="s">
        <v>1114</v>
      </c>
      <c r="B46" s="701" t="s">
        <v>1102</v>
      </c>
      <c r="C46" s="701"/>
      <c r="D46" s="701"/>
    </row>
    <row r="47" spans="1:8" x14ac:dyDescent="0.25">
      <c r="A47" t="s">
        <v>1115</v>
      </c>
      <c r="B47" s="701" t="s">
        <v>1103</v>
      </c>
      <c r="C47" s="701"/>
      <c r="D47" s="701"/>
    </row>
    <row r="48" spans="1:8" x14ac:dyDescent="0.25">
      <c r="A48" s="701"/>
      <c r="B48" s="701"/>
      <c r="C48" s="701"/>
      <c r="D48" s="701"/>
    </row>
    <row r="49" spans="1:4" x14ac:dyDescent="0.25">
      <c r="A49" s="885" t="s">
        <v>1110</v>
      </c>
      <c r="B49" s="701"/>
      <c r="C49" s="701"/>
      <c r="D49" s="701"/>
    </row>
    <row r="50" spans="1:4" x14ac:dyDescent="0.25">
      <c r="A50" t="s">
        <v>1116</v>
      </c>
      <c r="B50" s="701" t="s">
        <v>1104</v>
      </c>
      <c r="C50" s="701"/>
      <c r="D50" s="701"/>
    </row>
    <row r="51" spans="1:4" x14ac:dyDescent="0.25">
      <c r="A51" t="s">
        <v>1117</v>
      </c>
      <c r="B51" s="701" t="s">
        <v>1105</v>
      </c>
      <c r="C51" s="701"/>
      <c r="D51" s="701"/>
    </row>
    <row r="52" spans="1:4" x14ac:dyDescent="0.25">
      <c r="A52" s="701"/>
      <c r="B52" s="701"/>
      <c r="C52" s="701"/>
      <c r="D52" s="701"/>
    </row>
    <row r="53" spans="1:4" x14ac:dyDescent="0.25">
      <c r="A53" s="885" t="s">
        <v>1111</v>
      </c>
      <c r="B53" s="701"/>
      <c r="C53" s="701"/>
      <c r="D53" s="701"/>
    </row>
    <row r="54" spans="1:4" x14ac:dyDescent="0.25">
      <c r="A54" t="s">
        <v>1118</v>
      </c>
      <c r="B54" s="701" t="s">
        <v>1106</v>
      </c>
      <c r="C54" s="701"/>
      <c r="D54" s="701"/>
    </row>
    <row r="55" spans="1:4" x14ac:dyDescent="0.25">
      <c r="A55" t="s">
        <v>1119</v>
      </c>
      <c r="B55" s="701" t="s">
        <v>1107</v>
      </c>
      <c r="C55" s="701"/>
      <c r="D55" s="701"/>
    </row>
    <row r="56" spans="1:4" x14ac:dyDescent="0.25">
      <c r="A56" s="701"/>
      <c r="B56" s="701"/>
      <c r="C56" s="701"/>
      <c r="D56" s="701"/>
    </row>
    <row r="57" spans="1:4" x14ac:dyDescent="0.25">
      <c r="A57" s="885" t="s">
        <v>1112</v>
      </c>
      <c r="B57" s="701"/>
      <c r="C57" s="701"/>
      <c r="D57" s="701"/>
    </row>
    <row r="58" spans="1:4" x14ac:dyDescent="0.25">
      <c r="A58" t="s">
        <v>1120</v>
      </c>
      <c r="B58" s="701" t="s">
        <v>1108</v>
      </c>
      <c r="C58" s="701"/>
      <c r="D58" s="701"/>
    </row>
  </sheetData>
  <sheetProtection algorithmName="SHA-512" hashValue="taCldShFqhwuoWxDyedL55yqtwMCPLA34p6lqSGsTXlbIZKNpLkkgrWQLJ8GZMOChh2Ow1dzLpXMiMXYwdoI/g==" saltValue="yw+np6S+wxsigC1oAOYW9A==" spinCount="100000" sheet="1" objects="1" scenarios="1"/>
  <dataValidations disablePrompts="1" count="1">
    <dataValidation allowBlank="1" showInputMessage="1" showErrorMessage="1" promptTitle="Applikationen" sqref="A1:A5" xr:uid="{00000000-0002-0000-0E00-000000000000}"/>
  </dataValidations>
  <pageMargins left="0.7" right="0.7" top="0.78740157499999996" bottom="0.78740157499999996" header="0.3" footer="0.3"/>
  <pageSetup paperSize="9" orientation="portrait" r:id="rId1"/>
  <cellWatches>
    <cellWatch r="G1"/>
    <cellWatch r="H1"/>
    <cellWatch r="G2"/>
    <cellWatch r="H2"/>
    <cellWatch r="G3"/>
    <cellWatch r="H3"/>
    <cellWatch r="G4"/>
    <cellWatch r="H4"/>
    <cellWatch r="G5"/>
    <cellWatch r="H5"/>
    <cellWatch r="G6"/>
    <cellWatch r="H6"/>
    <cellWatch r="G7"/>
    <cellWatch r="H7"/>
    <cellWatch r="G8"/>
    <cellWatch r="H8"/>
    <cellWatch r="G9"/>
    <cellWatch r="H9"/>
    <cellWatch r="G10"/>
    <cellWatch r="H10"/>
    <cellWatch r="G11"/>
    <cellWatch r="H11"/>
    <cellWatch r="G12"/>
    <cellWatch r="H12"/>
    <cellWatch r="G13"/>
    <cellWatch r="H13"/>
    <cellWatch r="G14"/>
    <cellWatch r="H14"/>
    <cellWatch r="G15"/>
    <cellWatch r="H15"/>
    <cellWatch r="G16"/>
    <cellWatch r="H16"/>
    <cellWatch r="G17"/>
    <cellWatch r="H17"/>
    <cellWatch r="G18"/>
    <cellWatch r="H18"/>
    <cellWatch r="G19"/>
    <cellWatch r="H19"/>
    <cellWatch r="G20"/>
    <cellWatch r="H20"/>
    <cellWatch r="G21"/>
    <cellWatch r="H21"/>
    <cellWatch r="G22"/>
    <cellWatch r="H22"/>
    <cellWatch r="G23"/>
    <cellWatch r="H23"/>
    <cellWatch r="G24"/>
    <cellWatch r="H24"/>
    <cellWatch r="G25"/>
    <cellWatch r="H25"/>
    <cellWatch r="G26"/>
    <cellWatch r="H26"/>
    <cellWatch r="G27"/>
    <cellWatch r="H27"/>
    <cellWatch r="G28"/>
    <cellWatch r="H28"/>
    <cellWatch r="G29"/>
    <cellWatch r="H29"/>
    <cellWatch r="G30"/>
    <cellWatch r="H30"/>
  </cellWatche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autoPageBreaks="0"/>
  </sheetPr>
  <dimension ref="A1:Q75"/>
  <sheetViews>
    <sheetView showGridLines="0" topLeftCell="I1" zoomScaleNormal="100" workbookViewId="0">
      <selection activeCell="K3" sqref="K3"/>
    </sheetView>
  </sheetViews>
  <sheetFormatPr baseColWidth="10" defaultColWidth="9.140625" defaultRowHeight="14.25" x14ac:dyDescent="0.2"/>
  <cols>
    <col min="1" max="1" width="16.85546875" style="31" hidden="1" customWidth="1"/>
    <col min="2" max="2" width="23.140625" style="31" hidden="1" customWidth="1"/>
    <col min="3" max="3" width="56.7109375" style="31" hidden="1" customWidth="1"/>
    <col min="4" max="4" width="5.5703125" style="85" hidden="1" customWidth="1"/>
    <col min="5" max="5" width="11.140625" style="86" hidden="1" customWidth="1"/>
    <col min="6" max="6" width="16.5703125" style="87" hidden="1" customWidth="1"/>
    <col min="7" max="7" width="30" style="153" hidden="1" customWidth="1"/>
    <col min="8" max="8" width="14.7109375" style="153" hidden="1" customWidth="1"/>
    <col min="9" max="9" width="11.5703125" style="31" customWidth="1"/>
    <col min="10" max="16384" width="9.140625" style="31"/>
  </cols>
  <sheetData>
    <row r="1" spans="1:17" x14ac:dyDescent="0.2">
      <c r="A1" s="12"/>
      <c r="B1" s="12"/>
      <c r="C1" s="12"/>
      <c r="D1" s="119"/>
      <c r="F1" s="86"/>
      <c r="G1" s="154"/>
      <c r="K1" s="797" t="s">
        <v>1033</v>
      </c>
      <c r="L1" s="796"/>
      <c r="M1" s="796" t="s">
        <v>1034</v>
      </c>
    </row>
    <row r="2" spans="1:17" ht="18" x14ac:dyDescent="0.25">
      <c r="A2" s="12"/>
      <c r="B2" s="12"/>
      <c r="C2" s="12"/>
      <c r="D2" s="369" t="e">
        <f>IF($A$13+$A$21+$A$30+A37&lt;4,"STOPP!","")</f>
        <v>#VALUE!</v>
      </c>
      <c r="F2" s="86"/>
      <c r="G2" s="361" t="e">
        <f>IF($D$2="STOPP!","","OK, nächster Schritt")</f>
        <v>#VALUE!</v>
      </c>
    </row>
    <row r="3" spans="1:17" x14ac:dyDescent="0.2">
      <c r="A3" s="12"/>
      <c r="B3" s="12"/>
      <c r="C3" s="12"/>
      <c r="D3" s="13" t="e">
        <f>IF($D$2="STOPP!","Es fehlen noch Einträge auf dieser Seite","")</f>
        <v>#VALUE!</v>
      </c>
      <c r="F3" s="86"/>
      <c r="G3" s="362" t="e">
        <f>IF($A$13+C52+C54=3,"",IF(C52+C54&lt;2,IF($A$13=1,"Bitte prüfen, ob noch weitere Kontakte benannt werden können",""),""))</f>
        <v>#VALUE!</v>
      </c>
    </row>
    <row r="4" spans="1:17" ht="7.5" customHeight="1" x14ac:dyDescent="0.2">
      <c r="A4" s="12"/>
      <c r="B4" s="12"/>
      <c r="C4" s="12"/>
      <c r="D4" s="119"/>
      <c r="F4" s="86"/>
      <c r="G4" s="154"/>
    </row>
    <row r="5" spans="1:17" ht="68.25" customHeight="1" x14ac:dyDescent="0.2">
      <c r="A5" s="1020" t="s">
        <v>670</v>
      </c>
      <c r="B5" s="1020"/>
      <c r="C5" s="1020"/>
      <c r="D5" s="1020"/>
      <c r="E5" s="1020"/>
      <c r="F5" s="1020"/>
      <c r="G5" s="154"/>
    </row>
    <row r="6" spans="1:17" s="231" customFormat="1" ht="6.75" customHeight="1" x14ac:dyDescent="0.2">
      <c r="A6" s="267"/>
      <c r="B6" s="268"/>
      <c r="C6" s="269"/>
      <c r="D6" s="270"/>
      <c r="E6" s="12"/>
      <c r="F6" s="271"/>
      <c r="G6" s="272"/>
      <c r="H6" s="272"/>
    </row>
    <row r="7" spans="1:17" ht="15" customHeight="1" x14ac:dyDescent="0.3">
      <c r="A7" s="12"/>
      <c r="B7" s="1066" t="s">
        <v>46</v>
      </c>
      <c r="C7" s="1067"/>
      <c r="D7" s="390" t="s">
        <v>793</v>
      </c>
      <c r="E7" s="388"/>
      <c r="F7" s="273"/>
      <c r="G7" s="274"/>
      <c r="H7" s="274"/>
      <c r="I7" s="389"/>
      <c r="J7" s="276"/>
      <c r="K7" s="276"/>
      <c r="L7" s="276"/>
      <c r="M7" s="276"/>
      <c r="N7" s="276"/>
      <c r="O7" s="276"/>
      <c r="P7" s="276"/>
      <c r="Q7" s="276"/>
    </row>
    <row r="8" spans="1:17" ht="15" customHeight="1" x14ac:dyDescent="0.2">
      <c r="A8" s="118" t="str">
        <f>IF(C12="","Angabe verpflichtend"," ")</f>
        <v>Angabe verpflichtend</v>
      </c>
      <c r="B8" s="277" t="s">
        <v>45</v>
      </c>
      <c r="C8" s="402"/>
      <c r="D8" s="278" t="str">
        <f>IF(C8&lt;&gt;"","OK","")</f>
        <v/>
      </c>
      <c r="E8" s="273"/>
      <c r="F8" s="273"/>
      <c r="G8" s="274"/>
      <c r="H8" s="274"/>
      <c r="I8" s="279"/>
    </row>
    <row r="9" spans="1:17" ht="15" customHeight="1" x14ac:dyDescent="0.2">
      <c r="A9" s="280"/>
      <c r="B9" s="281" t="s">
        <v>18</v>
      </c>
      <c r="C9" s="403"/>
      <c r="D9" s="278" t="str">
        <f t="shared" ref="D9:D11" si="0">IF(C9&lt;&gt;"","OK","")</f>
        <v/>
      </c>
      <c r="E9" s="273"/>
      <c r="F9" s="273"/>
      <c r="G9" s="274"/>
      <c r="H9" s="274"/>
      <c r="I9" s="279"/>
    </row>
    <row r="10" spans="1:17" ht="15" customHeight="1" x14ac:dyDescent="0.2">
      <c r="A10" s="119"/>
      <c r="B10" s="281" t="s">
        <v>19</v>
      </c>
      <c r="C10" s="403"/>
      <c r="D10" s="278" t="str">
        <f t="shared" si="0"/>
        <v/>
      </c>
      <c r="E10" s="273"/>
      <c r="F10" s="273"/>
      <c r="G10" s="274"/>
      <c r="H10" s="274"/>
      <c r="I10" s="279"/>
    </row>
    <row r="11" spans="1:17" ht="15" customHeight="1" x14ac:dyDescent="0.2">
      <c r="A11" s="119"/>
      <c r="B11" s="281" t="s">
        <v>20</v>
      </c>
      <c r="C11" s="404"/>
      <c r="D11" s="278" t="str">
        <f t="shared" si="0"/>
        <v/>
      </c>
      <c r="E11" s="273"/>
      <c r="F11" s="273"/>
      <c r="G11" s="274"/>
      <c r="H11" s="274"/>
      <c r="I11" s="279"/>
    </row>
    <row r="12" spans="1:17" ht="15" customHeight="1" x14ac:dyDescent="0.2">
      <c r="A12" s="119"/>
      <c r="B12" s="282" t="s">
        <v>34</v>
      </c>
      <c r="C12" s="426"/>
      <c r="D12" s="359" t="str">
        <f>IF(C12&lt;&gt;"",IF(Tabelle1!I13="gültig","OK","Email Adresse fehlerhaft, Eintrag korrigieren"),"")</f>
        <v/>
      </c>
      <c r="E12" s="273"/>
      <c r="F12" s="273"/>
      <c r="G12" s="274"/>
      <c r="H12" s="274"/>
      <c r="I12" s="279"/>
    </row>
    <row r="13" spans="1:17" ht="15" customHeight="1" x14ac:dyDescent="0.2">
      <c r="A13" s="120" t="e">
        <f>_xlfn.SINGLE(IF(COUNTBLANK(AP_Vertrag)&gt;0,0,IF(D12="Email Adresse fehlerhaft, Eintrag korrigieren",0,1)))</f>
        <v>#VALUE!</v>
      </c>
      <c r="B13" s="283" t="s">
        <v>708</v>
      </c>
      <c r="C13" s="422"/>
      <c r="D13" s="278" t="str">
        <f>IF(C13&lt;&gt;"","OK","")</f>
        <v/>
      </c>
      <c r="E13" s="284"/>
      <c r="F13" s="284"/>
      <c r="G13" s="274"/>
      <c r="H13" s="274"/>
      <c r="I13" s="279"/>
    </row>
    <row r="14" spans="1:17" ht="6.75" customHeight="1" x14ac:dyDescent="0.2">
      <c r="A14" s="121"/>
      <c r="B14" s="285"/>
      <c r="C14" s="285"/>
      <c r="D14" s="286"/>
      <c r="F14" s="287"/>
      <c r="G14" s="288"/>
      <c r="H14" s="288"/>
    </row>
    <row r="15" spans="1:17" ht="15" customHeight="1" x14ac:dyDescent="0.3">
      <c r="A15" s="122"/>
      <c r="B15" s="1066" t="s">
        <v>47</v>
      </c>
      <c r="C15" s="1067"/>
      <c r="D15" s="390" t="s">
        <v>793</v>
      </c>
      <c r="E15" s="1010" t="s">
        <v>667</v>
      </c>
      <c r="F15" s="1010"/>
      <c r="G15" s="274"/>
      <c r="H15" s="274"/>
      <c r="I15" s="279"/>
    </row>
    <row r="16" spans="1:17" ht="15" customHeight="1" x14ac:dyDescent="0.2">
      <c r="A16" s="124" t="str">
        <f>IF(C19="","Angabe erwünscht"," ")</f>
        <v>Angabe erwünscht</v>
      </c>
      <c r="B16" s="277" t="s">
        <v>45</v>
      </c>
      <c r="C16" s="405"/>
      <c r="D16" s="289"/>
      <c r="E16" s="1010"/>
      <c r="F16" s="1010"/>
      <c r="G16" s="274"/>
      <c r="H16" s="274"/>
      <c r="I16" s="279"/>
    </row>
    <row r="17" spans="1:17" ht="15" customHeight="1" x14ac:dyDescent="0.2">
      <c r="A17" s="280"/>
      <c r="B17" s="281" t="s">
        <v>18</v>
      </c>
      <c r="C17" s="403"/>
      <c r="D17" s="289"/>
      <c r="E17" s="1010"/>
      <c r="F17" s="1010"/>
      <c r="G17" s="274"/>
      <c r="H17" s="274"/>
      <c r="I17" s="279"/>
    </row>
    <row r="18" spans="1:17" ht="15" customHeight="1" x14ac:dyDescent="0.2">
      <c r="A18" s="119"/>
      <c r="B18" s="281" t="s">
        <v>19</v>
      </c>
      <c r="C18" s="403"/>
      <c r="D18" s="289"/>
      <c r="E18" s="1010"/>
      <c r="F18" s="1010"/>
      <c r="G18" s="274"/>
      <c r="H18" s="274"/>
      <c r="I18" s="279"/>
    </row>
    <row r="19" spans="1:17" ht="15" customHeight="1" x14ac:dyDescent="0.2">
      <c r="A19" s="119"/>
      <c r="B19" s="281" t="s">
        <v>20</v>
      </c>
      <c r="C19" s="404"/>
      <c r="D19" s="290"/>
      <c r="E19" s="1010"/>
      <c r="F19" s="1010"/>
      <c r="G19" s="274"/>
      <c r="H19" s="274"/>
      <c r="I19" s="279"/>
    </row>
    <row r="20" spans="1:17" ht="15" customHeight="1" x14ac:dyDescent="0.2">
      <c r="A20" s="119"/>
      <c r="B20" s="282" t="s">
        <v>34</v>
      </c>
      <c r="C20" s="425"/>
      <c r="D20" s="359" t="str">
        <f>IF(C20&lt;&gt;"",IF(Tabelle1!J13="gültig","OK","Email Adresse fehlerhaft, Eintrag korrigieren"),"")</f>
        <v/>
      </c>
      <c r="E20" s="360"/>
      <c r="F20" s="291"/>
      <c r="G20" s="274"/>
      <c r="H20" s="274"/>
      <c r="I20" s="279"/>
    </row>
    <row r="21" spans="1:17" ht="18" customHeight="1" x14ac:dyDescent="0.2">
      <c r="A21" s="120">
        <f>IF(B52="nicht belegt",1,IF(D20="Email Adresse fehlerhaft, Eintrag korrigieren",0,IF(E21="Kontaktdaten des technischen Ansprechpartners vervollständigen",0,1)))</f>
        <v>1</v>
      </c>
      <c r="B21" s="283" t="s">
        <v>708</v>
      </c>
      <c r="C21" s="406"/>
      <c r="D21" s="289"/>
      <c r="E21" s="1070" t="str">
        <f>IF(B52="belegt",IF(COUNTBLANK(C16:C20)&gt;0,"Kontaktdaten des technischen Ansprechpartners vervollständigen",""),"")</f>
        <v/>
      </c>
      <c r="F21" s="1070"/>
      <c r="G21" s="1070"/>
      <c r="H21" s="274"/>
      <c r="I21" s="279"/>
    </row>
    <row r="22" spans="1:17" ht="6" customHeight="1" x14ac:dyDescent="0.2">
      <c r="A22" s="121"/>
      <c r="B22" s="285"/>
      <c r="C22" s="285"/>
      <c r="D22" s="286"/>
      <c r="E22" s="357"/>
      <c r="F22" s="358"/>
      <c r="G22" s="293"/>
      <c r="H22" s="293"/>
    </row>
    <row r="23" spans="1:17" ht="1.5" customHeight="1" x14ac:dyDescent="0.2">
      <c r="A23" s="122"/>
      <c r="B23" s="271"/>
      <c r="C23" s="294"/>
      <c r="D23" s="119"/>
      <c r="F23" s="287"/>
      <c r="G23" s="295"/>
      <c r="H23" s="295"/>
    </row>
    <row r="24" spans="1:17" ht="15" customHeight="1" x14ac:dyDescent="0.3">
      <c r="A24" s="122"/>
      <c r="B24" s="1066" t="s">
        <v>48</v>
      </c>
      <c r="C24" s="1067"/>
      <c r="D24" s="390" t="s">
        <v>793</v>
      </c>
      <c r="E24" s="1010" t="s">
        <v>667</v>
      </c>
      <c r="F24" s="1010"/>
      <c r="G24" s="274"/>
      <c r="H24" s="274"/>
      <c r="I24" s="275"/>
      <c r="J24" s="276"/>
      <c r="K24" s="276"/>
      <c r="L24" s="276"/>
      <c r="M24" s="276"/>
      <c r="N24" s="276"/>
      <c r="O24" s="276"/>
      <c r="P24" s="276"/>
      <c r="Q24" s="276"/>
    </row>
    <row r="25" spans="1:17" ht="15" customHeight="1" x14ac:dyDescent="0.2">
      <c r="A25" s="124" t="str">
        <f>IF(C28="","Angabe erwünscht"," ")</f>
        <v>Angabe erwünscht</v>
      </c>
      <c r="B25" s="277" t="s">
        <v>45</v>
      </c>
      <c r="C25" s="405"/>
      <c r="D25" s="289"/>
      <c r="E25" s="1010"/>
      <c r="F25" s="1010"/>
      <c r="G25" s="274"/>
      <c r="H25" s="274"/>
      <c r="I25" s="275"/>
      <c r="J25" s="276"/>
      <c r="K25" s="276"/>
      <c r="L25" s="276"/>
      <c r="M25" s="276"/>
      <c r="N25" s="276"/>
      <c r="O25" s="276"/>
      <c r="P25" s="276"/>
      <c r="Q25" s="276"/>
    </row>
    <row r="26" spans="1:17" ht="15" customHeight="1" x14ac:dyDescent="0.2">
      <c r="A26" s="280"/>
      <c r="B26" s="281" t="s">
        <v>18</v>
      </c>
      <c r="C26" s="403"/>
      <c r="D26" s="289"/>
      <c r="E26" s="1010"/>
      <c r="F26" s="1010"/>
      <c r="G26" s="274"/>
      <c r="H26" s="274"/>
      <c r="I26" s="275"/>
      <c r="J26" s="276"/>
      <c r="K26" s="276"/>
      <c r="L26" s="276"/>
      <c r="M26" s="276"/>
      <c r="N26" s="276"/>
      <c r="O26" s="276"/>
      <c r="P26" s="276"/>
      <c r="Q26" s="276"/>
    </row>
    <row r="27" spans="1:17" ht="15" customHeight="1" x14ac:dyDescent="0.2">
      <c r="A27" s="119"/>
      <c r="B27" s="281" t="s">
        <v>19</v>
      </c>
      <c r="C27" s="403"/>
      <c r="D27" s="289"/>
      <c r="E27" s="1010"/>
      <c r="F27" s="1010"/>
      <c r="G27" s="274"/>
      <c r="H27" s="274"/>
      <c r="I27" s="275"/>
      <c r="J27" s="276"/>
      <c r="K27" s="276"/>
      <c r="L27" s="276"/>
      <c r="M27" s="276"/>
      <c r="N27" s="276"/>
      <c r="O27" s="276"/>
      <c r="P27" s="276"/>
      <c r="Q27" s="276"/>
    </row>
    <row r="28" spans="1:17" ht="15" customHeight="1" x14ac:dyDescent="0.2">
      <c r="A28" s="119"/>
      <c r="B28" s="281" t="s">
        <v>20</v>
      </c>
      <c r="C28" s="404"/>
      <c r="D28" s="290"/>
      <c r="E28" s="1010"/>
      <c r="F28" s="1010"/>
      <c r="G28" s="274"/>
      <c r="H28" s="274"/>
      <c r="I28" s="275"/>
      <c r="J28" s="276"/>
      <c r="K28" s="276"/>
      <c r="L28" s="276"/>
      <c r="M28" s="276"/>
      <c r="N28" s="276"/>
      <c r="O28" s="276"/>
      <c r="P28" s="276"/>
      <c r="Q28" s="276"/>
    </row>
    <row r="29" spans="1:17" ht="15" customHeight="1" x14ac:dyDescent="0.2">
      <c r="A29" s="119"/>
      <c r="B29" s="282" t="s">
        <v>34</v>
      </c>
      <c r="C29" s="425"/>
      <c r="D29" s="359" t="str">
        <f>IF(C29&lt;&gt;"",IF(Tabelle1!K13="gültig","OK","Email Adresse fehlerhaft, Eintrag korrigieren"),"")</f>
        <v/>
      </c>
      <c r="H29" s="274"/>
      <c r="I29" s="275"/>
      <c r="J29" s="276"/>
      <c r="K29" s="276"/>
      <c r="L29" s="276"/>
      <c r="M29" s="276"/>
      <c r="N29" s="276"/>
      <c r="O29" s="276"/>
      <c r="P29" s="276"/>
      <c r="Q29" s="276"/>
    </row>
    <row r="30" spans="1:17" ht="15" customHeight="1" x14ac:dyDescent="0.2">
      <c r="A30" s="120">
        <f>IF(B54="nicht belegt",1,IF(D29="Email Adresse fehlerhaft, Eintrag korrigieren",0,IF(E30="Kontaktdaten des Ansprechpartners Rechnung vervollständigen",0,1)))</f>
        <v>1</v>
      </c>
      <c r="B30" s="283" t="s">
        <v>708</v>
      </c>
      <c r="C30" s="424"/>
      <c r="D30" s="289"/>
      <c r="E30" s="1070" t="str">
        <f>IF(B54="belegt",IF(COUNTBLANK(C25:C29)&gt;0,"Kontaktdaten des Ansprechpartners Rechnung vervollständigen",""),"")</f>
        <v/>
      </c>
      <c r="F30" s="1070"/>
      <c r="G30" s="1070"/>
      <c r="H30" s="274"/>
      <c r="I30" s="275"/>
      <c r="J30" s="276"/>
      <c r="K30" s="276"/>
      <c r="L30" s="276"/>
      <c r="M30" s="276"/>
      <c r="N30" s="276"/>
      <c r="O30" s="276"/>
      <c r="P30" s="276"/>
      <c r="Q30" s="276"/>
    </row>
    <row r="31" spans="1:17" ht="4.5" customHeight="1" x14ac:dyDescent="0.2">
      <c r="A31" s="122"/>
      <c r="B31" s="271"/>
      <c r="C31" s="294"/>
      <c r="D31" s="119"/>
      <c r="E31" s="357"/>
      <c r="F31" s="358"/>
      <c r="G31" s="288"/>
      <c r="H31" s="288"/>
    </row>
    <row r="32" spans="1:17" ht="82.5" customHeight="1" x14ac:dyDescent="0.2">
      <c r="A32" s="123"/>
      <c r="B32" s="1068" t="s">
        <v>668</v>
      </c>
      <c r="C32" s="1069"/>
      <c r="D32" s="391" t="s">
        <v>793</v>
      </c>
      <c r="E32" s="388"/>
      <c r="F32" s="388"/>
      <c r="G32" s="388"/>
      <c r="H32" s="388"/>
      <c r="I32" s="275"/>
      <c r="J32" s="276"/>
      <c r="K32" s="276"/>
      <c r="L32" s="276"/>
      <c r="M32" s="276"/>
      <c r="N32" s="276"/>
      <c r="O32" s="276"/>
      <c r="P32" s="276"/>
      <c r="Q32" s="276"/>
    </row>
    <row r="33" spans="1:17" ht="15" customHeight="1" x14ac:dyDescent="0.2">
      <c r="A33" s="125" t="str">
        <f>IF(C37="","Angabe optional","")</f>
        <v>Angabe optional</v>
      </c>
      <c r="B33" s="277" t="s">
        <v>45</v>
      </c>
      <c r="C33" s="407"/>
      <c r="D33" s="289"/>
      <c r="E33" s="388"/>
      <c r="F33" s="388"/>
      <c r="G33" s="388"/>
      <c r="H33" s="388"/>
      <c r="I33" s="275"/>
      <c r="J33" s="276"/>
      <c r="K33" s="276"/>
      <c r="L33" s="276"/>
      <c r="M33" s="276"/>
      <c r="N33" s="276"/>
      <c r="O33" s="276"/>
      <c r="P33" s="276"/>
      <c r="Q33" s="276"/>
    </row>
    <row r="34" spans="1:17" ht="15" customHeight="1" x14ac:dyDescent="0.2">
      <c r="A34" s="12"/>
      <c r="B34" s="281" t="s">
        <v>18</v>
      </c>
      <c r="C34" s="403"/>
      <c r="D34" s="289"/>
      <c r="E34" s="388"/>
      <c r="F34" s="388"/>
      <c r="G34" s="388"/>
      <c r="H34" s="388"/>
      <c r="I34" s="275"/>
      <c r="J34" s="276"/>
      <c r="K34" s="276"/>
      <c r="L34" s="276"/>
      <c r="M34" s="276"/>
      <c r="N34" s="276"/>
      <c r="O34" s="276"/>
      <c r="P34" s="276"/>
      <c r="Q34" s="276"/>
    </row>
    <row r="35" spans="1:17" ht="15" customHeight="1" x14ac:dyDescent="0.2">
      <c r="A35" s="12"/>
      <c r="B35" s="281" t="s">
        <v>19</v>
      </c>
      <c r="C35" s="408"/>
      <c r="D35" s="289"/>
      <c r="E35" s="388"/>
      <c r="F35" s="388"/>
      <c r="G35" s="388"/>
      <c r="H35" s="388"/>
      <c r="I35" s="275"/>
      <c r="J35" s="276"/>
      <c r="K35" s="276"/>
      <c r="L35" s="276"/>
      <c r="M35" s="276"/>
      <c r="N35" s="276"/>
      <c r="O35" s="276"/>
      <c r="P35" s="276"/>
      <c r="Q35" s="276"/>
    </row>
    <row r="36" spans="1:17" ht="15" customHeight="1" x14ac:dyDescent="0.2">
      <c r="A36" s="12"/>
      <c r="B36" s="281" t="s">
        <v>20</v>
      </c>
      <c r="C36" s="409"/>
      <c r="D36" s="290"/>
      <c r="E36" s="388"/>
      <c r="F36" s="388"/>
      <c r="G36" s="388"/>
      <c r="H36" s="388"/>
      <c r="I36" s="275"/>
      <c r="J36" s="276"/>
      <c r="K36" s="276"/>
      <c r="L36" s="276"/>
      <c r="M36" s="276"/>
      <c r="N36" s="276"/>
      <c r="O36" s="276"/>
      <c r="P36" s="276"/>
      <c r="Q36" s="276"/>
    </row>
    <row r="37" spans="1:17" ht="15" customHeight="1" x14ac:dyDescent="0.2">
      <c r="A37" s="120">
        <f>B55</f>
        <v>1</v>
      </c>
      <c r="B37" s="296" t="s">
        <v>34</v>
      </c>
      <c r="C37" s="423"/>
      <c r="D37" s="278" t="str">
        <f>IF(C37&lt;&gt;"",IF(Tabelle1!L13="gültig","OK","Email Adresse fehlerhaft, Eintrag korrigieren"),"")</f>
        <v/>
      </c>
      <c r="E37" s="388"/>
      <c r="F37" s="388"/>
      <c r="G37" s="388"/>
      <c r="H37" s="388"/>
      <c r="I37" s="275"/>
      <c r="J37" s="276"/>
      <c r="K37" s="276"/>
      <c r="L37" s="276"/>
      <c r="M37" s="276"/>
      <c r="N37" s="276"/>
      <c r="O37" s="276"/>
      <c r="P37" s="276"/>
      <c r="Q37" s="276"/>
    </row>
    <row r="38" spans="1:17" ht="3" customHeight="1" x14ac:dyDescent="0.2">
      <c r="A38" s="285"/>
      <c r="B38" s="285"/>
      <c r="C38" s="285"/>
      <c r="D38" s="286"/>
      <c r="E38" s="297"/>
      <c r="F38" s="292"/>
      <c r="G38" s="293"/>
      <c r="H38" s="298"/>
      <c r="I38" s="276"/>
      <c r="J38" s="276"/>
      <c r="K38" s="276"/>
      <c r="L38" s="276"/>
      <c r="M38" s="276"/>
      <c r="N38" s="276"/>
      <c r="O38" s="276"/>
      <c r="P38" s="276"/>
      <c r="Q38" s="276"/>
    </row>
    <row r="39" spans="1:17" ht="3" customHeight="1" x14ac:dyDescent="0.2"/>
    <row r="41" spans="1:17" x14ac:dyDescent="0.2">
      <c r="E41" s="31"/>
      <c r="F41" s="31"/>
    </row>
    <row r="42" spans="1:17" s="363" customFormat="1" x14ac:dyDescent="0.2">
      <c r="D42" s="364"/>
      <c r="G42" s="299"/>
      <c r="H42" s="299"/>
    </row>
    <row r="43" spans="1:17" s="363" customFormat="1" x14ac:dyDescent="0.2">
      <c r="D43" s="364"/>
      <c r="F43" s="365"/>
      <c r="G43" s="299"/>
      <c r="H43" s="299"/>
    </row>
    <row r="44" spans="1:17" s="363" customFormat="1" x14ac:dyDescent="0.2">
      <c r="D44" s="364"/>
      <c r="E44" s="366"/>
      <c r="F44" s="365" t="e">
        <f>IF(G2="OK, nächster Schritt",100,0)</f>
        <v>#VALUE!</v>
      </c>
      <c r="G44" s="299"/>
      <c r="H44" s="299"/>
    </row>
    <row r="45" spans="1:17" s="363" customFormat="1" x14ac:dyDescent="0.2">
      <c r="D45" s="364"/>
      <c r="E45" s="366"/>
      <c r="F45" s="365"/>
      <c r="G45" s="299"/>
      <c r="H45" s="299"/>
    </row>
    <row r="46" spans="1:17" s="363" customFormat="1" x14ac:dyDescent="0.2">
      <c r="D46" s="364"/>
      <c r="E46" s="366"/>
      <c r="F46" s="365"/>
      <c r="G46" s="299"/>
      <c r="H46" s="299"/>
    </row>
    <row r="47" spans="1:17" s="363" customFormat="1" x14ac:dyDescent="0.2">
      <c r="D47" s="364"/>
      <c r="E47" s="366"/>
      <c r="F47" s="365"/>
      <c r="G47" s="299"/>
      <c r="H47" s="299"/>
    </row>
    <row r="48" spans="1:17" s="363" customFormat="1" x14ac:dyDescent="0.2">
      <c r="D48" s="364"/>
      <c r="E48" s="366"/>
      <c r="F48" s="365"/>
      <c r="G48" s="299"/>
      <c r="H48" s="299"/>
    </row>
    <row r="49" spans="1:8" s="363" customFormat="1" x14ac:dyDescent="0.2">
      <c r="D49" s="364"/>
      <c r="E49" s="366"/>
      <c r="F49" s="365"/>
      <c r="G49" s="299"/>
      <c r="H49" s="299"/>
    </row>
    <row r="50" spans="1:8" s="363" customFormat="1" x14ac:dyDescent="0.2">
      <c r="D50" s="364"/>
      <c r="E50" s="366"/>
      <c r="F50" s="365"/>
      <c r="G50" s="299"/>
      <c r="H50" s="299"/>
    </row>
    <row r="51" spans="1:8" s="363" customFormat="1" ht="42.75" x14ac:dyDescent="0.2">
      <c r="A51" s="367" t="s">
        <v>776</v>
      </c>
      <c r="B51" s="363">
        <f>IF(D20="Email Adresse fehlerhaft, Eintrag korrigieren",100,0)</f>
        <v>0</v>
      </c>
      <c r="D51" s="364"/>
      <c r="E51" s="366"/>
      <c r="F51" s="365"/>
      <c r="G51" s="299"/>
      <c r="H51" s="299"/>
    </row>
    <row r="52" spans="1:8" s="363" customFormat="1" ht="21.75" x14ac:dyDescent="0.2">
      <c r="A52" s="367" t="s">
        <v>779</v>
      </c>
      <c r="B52" s="363" t="str">
        <f>IF(COUNTBLANK(C16:C20)&gt;4,"nicht belegt","belegt")</f>
        <v>nicht belegt</v>
      </c>
      <c r="C52" s="368">
        <f>IF(B52="nicht belegt",0,1)</f>
        <v>0</v>
      </c>
      <c r="D52" s="364"/>
      <c r="E52" s="366"/>
      <c r="F52" s="365"/>
      <c r="G52" s="299"/>
      <c r="H52" s="299"/>
    </row>
    <row r="53" spans="1:8" s="363" customFormat="1" ht="58.5" customHeight="1" x14ac:dyDescent="0.2">
      <c r="A53" s="367" t="s">
        <v>777</v>
      </c>
      <c r="B53" s="363">
        <f>IF(D29="Email Adresse fehlerhaft, Eintrag korrigieren",100,0)</f>
        <v>0</v>
      </c>
      <c r="D53" s="364"/>
      <c r="E53" s="366"/>
      <c r="F53" s="365"/>
      <c r="G53" s="299"/>
      <c r="H53" s="299"/>
    </row>
    <row r="54" spans="1:8" s="363" customFormat="1" ht="58.5" customHeight="1" x14ac:dyDescent="0.2">
      <c r="A54" s="367" t="s">
        <v>780</v>
      </c>
      <c r="B54" s="363" t="str">
        <f>IF(COUNTBLANK(C25:C29)&gt;4,"nicht belegt","belegt")</f>
        <v>nicht belegt</v>
      </c>
      <c r="C54" s="368">
        <f>IF(B54="nicht belegt",0,1)</f>
        <v>0</v>
      </c>
      <c r="D54" s="364"/>
      <c r="E54" s="366"/>
      <c r="F54" s="365"/>
      <c r="G54" s="299"/>
      <c r="H54" s="299"/>
    </row>
    <row r="55" spans="1:8" s="363" customFormat="1" ht="42.75" x14ac:dyDescent="0.2">
      <c r="A55" s="367" t="s">
        <v>778</v>
      </c>
      <c r="B55" s="363">
        <f>IF(D37="Email Adresse fehlerhaft, Eintrag korrigieren",100,1)</f>
        <v>1</v>
      </c>
      <c r="D55" s="364"/>
      <c r="E55" s="366"/>
      <c r="F55" s="365"/>
      <c r="G55" s="299"/>
      <c r="H55" s="299"/>
    </row>
    <row r="56" spans="1:8" s="363" customFormat="1" x14ac:dyDescent="0.2">
      <c r="D56" s="364"/>
      <c r="E56" s="366"/>
      <c r="F56" s="365"/>
      <c r="G56" s="299"/>
      <c r="H56" s="299"/>
    </row>
    <row r="57" spans="1:8" s="363" customFormat="1" x14ac:dyDescent="0.2">
      <c r="D57" s="364"/>
      <c r="E57" s="366"/>
      <c r="F57" s="365"/>
      <c r="G57" s="299"/>
      <c r="H57" s="299"/>
    </row>
    <row r="58" spans="1:8" s="363" customFormat="1" x14ac:dyDescent="0.2">
      <c r="D58" s="364"/>
      <c r="E58" s="366"/>
      <c r="F58" s="365"/>
      <c r="G58" s="299"/>
      <c r="H58" s="299"/>
    </row>
    <row r="59" spans="1:8" s="363" customFormat="1" x14ac:dyDescent="0.2">
      <c r="D59" s="364"/>
      <c r="E59" s="366"/>
      <c r="F59" s="365"/>
      <c r="G59" s="299"/>
      <c r="H59" s="299"/>
    </row>
    <row r="75" ht="15" customHeight="1" x14ac:dyDescent="0.2"/>
  </sheetData>
  <sheetProtection algorithmName="SHA-512" hashValue="4+eh9cEo6gotv1zCUcE8PuPwCidEqPlre68CMDR9VluzKZuihDyK22APmpRZbwCpPshxGQX+vH8G6/hbMpfrtg==" saltValue="ws1F2XtdYsolubVaMf0IyA==" spinCount="100000" sheet="1" objects="1" scenarios="1" formatCells="0"/>
  <mergeCells count="9">
    <mergeCell ref="A5:F5"/>
    <mergeCell ref="B7:C7"/>
    <mergeCell ref="B15:C15"/>
    <mergeCell ref="B24:C24"/>
    <mergeCell ref="B32:C32"/>
    <mergeCell ref="E15:F19"/>
    <mergeCell ref="E24:F28"/>
    <mergeCell ref="E21:G21"/>
    <mergeCell ref="E30:G30"/>
  </mergeCells>
  <conditionalFormatting sqref="A7">
    <cfRule type="expression" dxfId="52" priority="35">
      <formula>$C$9=""</formula>
    </cfRule>
  </conditionalFormatting>
  <conditionalFormatting sqref="A15">
    <cfRule type="expression" dxfId="51" priority="34">
      <formula>$C$17=""</formula>
    </cfRule>
  </conditionalFormatting>
  <conditionalFormatting sqref="A24">
    <cfRule type="expression" dxfId="50" priority="33">
      <formula>$C$26=""</formula>
    </cfRule>
  </conditionalFormatting>
  <conditionalFormatting sqref="C8:C12">
    <cfRule type="containsBlanks" dxfId="49" priority="271">
      <formula>LEN(TRIM(C8))=0</formula>
    </cfRule>
  </conditionalFormatting>
  <conditionalFormatting sqref="D8:D13">
    <cfRule type="cellIs" dxfId="48" priority="30" operator="equal">
      <formula>"OK"</formula>
    </cfRule>
  </conditionalFormatting>
  <conditionalFormatting sqref="A32">
    <cfRule type="expression" dxfId="47" priority="29">
      <formula>$C$37=""</formula>
    </cfRule>
  </conditionalFormatting>
  <conditionalFormatting sqref="B7:C7">
    <cfRule type="expression" dxfId="46" priority="28">
      <formula>COUNTBLANK($C$8:$C$13)&gt;0</formula>
    </cfRule>
  </conditionalFormatting>
  <conditionalFormatting sqref="B15:C15">
    <cfRule type="expression" dxfId="45" priority="27">
      <formula>COUNTBLANK($C$16:$C$21)&gt;0</formula>
    </cfRule>
  </conditionalFormatting>
  <conditionalFormatting sqref="B24:C24">
    <cfRule type="expression" dxfId="44" priority="25">
      <formula>COUNTBLANK($C$25:$C$30)&gt;0</formula>
    </cfRule>
  </conditionalFormatting>
  <conditionalFormatting sqref="D12">
    <cfRule type="cellIs" dxfId="43" priority="24" operator="equal">
      <formula>"Email Adresse fehlerhaft, Eintrag korrigieren"</formula>
    </cfRule>
  </conditionalFormatting>
  <conditionalFormatting sqref="C12">
    <cfRule type="expression" dxfId="42" priority="23">
      <formula>$D$12="Email Adresse fehlerhaft, Eintrag korrigieren"</formula>
    </cfRule>
  </conditionalFormatting>
  <conditionalFormatting sqref="D20">
    <cfRule type="cellIs" dxfId="41" priority="22" operator="equal">
      <formula>"OK"</formula>
    </cfRule>
  </conditionalFormatting>
  <conditionalFormatting sqref="D20">
    <cfRule type="cellIs" dxfId="40" priority="21" operator="equal">
      <formula>"Email Adresse fehlerhaft, Eintrag korrigieren"</formula>
    </cfRule>
  </conditionalFormatting>
  <conditionalFormatting sqref="C20">
    <cfRule type="expression" dxfId="39" priority="20">
      <formula>$D$20="Email Adresse fehlerhaft, Eintrag korrigieren"</formula>
    </cfRule>
  </conditionalFormatting>
  <conditionalFormatting sqref="D37">
    <cfRule type="cellIs" dxfId="38" priority="16" operator="equal">
      <formula>"OK"</formula>
    </cfRule>
  </conditionalFormatting>
  <conditionalFormatting sqref="D37">
    <cfRule type="cellIs" dxfId="37" priority="15" operator="equal">
      <formula>"Email Adresse fehlerhaft, Eintrag korrigieren"</formula>
    </cfRule>
  </conditionalFormatting>
  <conditionalFormatting sqref="C37">
    <cfRule type="expression" dxfId="36" priority="14">
      <formula>$D$37="Email Adresse fehlerhaft, Eintrag korrigieren"</formula>
    </cfRule>
  </conditionalFormatting>
  <conditionalFormatting sqref="E21">
    <cfRule type="cellIs" dxfId="35" priority="13" operator="equal">
      <formula>"Kontaktdaten des technischen Ansprechpartners vervollständigen"</formula>
    </cfRule>
  </conditionalFormatting>
  <conditionalFormatting sqref="E30">
    <cfRule type="cellIs" dxfId="34" priority="12" operator="equal">
      <formula>"Kontaktdaten des Ansprechpartners Rechnung vervollständigen"</formula>
    </cfRule>
  </conditionalFormatting>
  <conditionalFormatting sqref="E15:F19">
    <cfRule type="expression" dxfId="33" priority="7">
      <formula>$B$52="belegt"</formula>
    </cfRule>
    <cfRule type="expression" dxfId="32" priority="10">
      <formula>$E$21="Kontaktdaten des technischen Ansprechpartners vervollständigen"</formula>
    </cfRule>
  </conditionalFormatting>
  <conditionalFormatting sqref="E24:F28">
    <cfRule type="expression" dxfId="31" priority="6">
      <formula>$B$54="belegt"</formula>
    </cfRule>
    <cfRule type="expression" dxfId="30" priority="269">
      <formula>$E$30="Kontaktdaten des Ansprechpartners Rechnung vervollständigen"</formula>
    </cfRule>
  </conditionalFormatting>
  <conditionalFormatting sqref="D29">
    <cfRule type="cellIs" dxfId="29" priority="9" operator="equal">
      <formula>"OK"</formula>
    </cfRule>
  </conditionalFormatting>
  <conditionalFormatting sqref="D29">
    <cfRule type="cellIs" dxfId="28" priority="8" operator="equal">
      <formula>"Email Adresse fehlerhaft, Eintrag korrigieren"</formula>
    </cfRule>
  </conditionalFormatting>
  <conditionalFormatting sqref="C29">
    <cfRule type="expression" dxfId="27" priority="5">
      <formula>$D$20="Email Adresse fehlerhaft, Eintrag korrigieren"</formula>
    </cfRule>
  </conditionalFormatting>
  <conditionalFormatting sqref="C13">
    <cfRule type="containsBlanks" dxfId="26" priority="4">
      <formula>LEN(TRIM(C13))=0</formula>
    </cfRule>
  </conditionalFormatting>
  <conditionalFormatting sqref="E13:F13">
    <cfRule type="expression" dxfId="25" priority="3">
      <formula>$A$8&lt;&gt;"Angabe verpflichtend"</formula>
    </cfRule>
  </conditionalFormatting>
  <conditionalFormatting sqref="E22:F22">
    <cfRule type="expression" dxfId="24" priority="2">
      <formula>$A$16&lt;&gt;"Angabe erwünscht"</formula>
    </cfRule>
  </conditionalFormatting>
  <conditionalFormatting sqref="E31:F31">
    <cfRule type="expression" dxfId="23" priority="1">
      <formula>$A$25&lt;&gt;"Angabe erwünscht"</formula>
    </cfRule>
  </conditionalFormatting>
  <pageMargins left="0.35" right="0.32" top="0.35" bottom="0.3" header="0.31496062992125984" footer="0.23"/>
  <pageSetup paperSize="9" scale="85" orientation="landscape" r:id="rId1"/>
  <drawing r:id="rId2"/>
  <legacyDrawing r:id="rId3"/>
  <extLst>
    <ext xmlns:x14="http://schemas.microsoft.com/office/spreadsheetml/2009/9/main" uri="{CCE6A557-97BC-4b89-ADB6-D9C93CAAB3DF}">
      <x14:dataValidations xmlns:xm="http://schemas.microsoft.com/office/excel/2006/main" xWindow="385" yWindow="785" count="1">
        <x14:dataValidation type="list" allowBlank="1" showInputMessage="1" showErrorMessage="1" prompt="Nutzen Sie die Auswahl" xr:uid="{00000000-0002-0000-0F00-000000000000}">
          <x14:formula1>
            <xm:f>Tabelle1!$B$2:$B$5</xm:f>
          </x14:formula1>
          <xm:sqref>C8 C16 C33 C25</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P54"/>
  <sheetViews>
    <sheetView showGridLines="0" topLeftCell="I1" zoomScaleNormal="100" workbookViewId="0">
      <selection activeCell="K1" sqref="K1"/>
    </sheetView>
  </sheetViews>
  <sheetFormatPr baseColWidth="10" defaultColWidth="9.140625" defaultRowHeight="15" customHeight="1" x14ac:dyDescent="0.2"/>
  <cols>
    <col min="1" max="1" width="33.28515625" style="231" hidden="1" customWidth="1"/>
    <col min="2" max="2" width="45.140625" style="231" hidden="1" customWidth="1"/>
    <col min="3" max="3" width="17.42578125" style="231" hidden="1" customWidth="1"/>
    <col min="4" max="5" width="0" style="232" hidden="1" customWidth="1"/>
    <col min="6" max="6" width="13.140625" style="232" hidden="1" customWidth="1"/>
    <col min="7" max="8" width="0" style="231" hidden="1" customWidth="1"/>
    <col min="9" max="16384" width="9.140625" style="231"/>
  </cols>
  <sheetData>
    <row r="1" spans="1:16" ht="15" customHeight="1" x14ac:dyDescent="0.2">
      <c r="A1" s="230"/>
      <c r="B1" s="230"/>
      <c r="K1" s="799" t="s">
        <v>1033</v>
      </c>
    </row>
    <row r="2" spans="1:16" ht="15" customHeight="1" x14ac:dyDescent="0.2">
      <c r="A2" s="230"/>
      <c r="B2" s="230"/>
      <c r="C2" s="370" t="str">
        <f>IF($D$50&gt;3,"STOPP!",IF($D$50&lt;1,"STOPP!",IF(D47=0,"STOPP!","")))</f>
        <v>STOPP!</v>
      </c>
      <c r="G2" s="355" t="str">
        <f>IF($C$2="STOPP!","","OK, nächster Schritt")</f>
        <v/>
      </c>
      <c r="K2" s="798" t="s">
        <v>1034</v>
      </c>
    </row>
    <row r="3" spans="1:16" ht="15" customHeight="1" x14ac:dyDescent="0.2">
      <c r="A3" s="230"/>
      <c r="B3" s="230"/>
      <c r="C3" s="233" t="str">
        <f>IF($C$2="STOPP!","Es fehlen noch Einträge auf dieser Seite oder sind nicht korrekt","")</f>
        <v>Es fehlen noch Einträge auf dieser Seite oder sind nicht korrekt</v>
      </c>
    </row>
    <row r="4" spans="1:16" ht="48" customHeight="1" x14ac:dyDescent="0.2">
      <c r="A4" s="1020" t="s">
        <v>669</v>
      </c>
      <c r="B4" s="1020"/>
      <c r="C4" s="1020"/>
      <c r="D4" s="1020"/>
      <c r="E4" s="1020"/>
      <c r="F4" s="1020"/>
    </row>
    <row r="5" spans="1:16" ht="16.5" customHeight="1" x14ac:dyDescent="0.25">
      <c r="A5" s="1072" t="s">
        <v>54</v>
      </c>
      <c r="B5" s="1073"/>
      <c r="C5" s="356" t="str">
        <f>IF(C14="",IF((I6+I7+I8+I9+I10+I11+I14+I15+I16+I24)&lt;9,"STOPP! Tabelle unvollständig","Tabelle vollständig"),IF((I6+I7+I8+I9+I10+I11+I14+I15+I16)&lt;10,"STOPP! Tabelle unvollständig","Tabelle vollständig"))</f>
        <v>STOPP! Tabelle unvollständig</v>
      </c>
      <c r="D5" s="235"/>
      <c r="G5" s="236"/>
      <c r="H5" s="236"/>
      <c r="I5" s="236"/>
      <c r="J5" s="236"/>
      <c r="K5" s="236"/>
      <c r="L5" s="236"/>
      <c r="M5" s="236"/>
      <c r="N5" s="236"/>
      <c r="O5" s="236"/>
      <c r="P5" s="236"/>
    </row>
    <row r="6" spans="1:16" ht="15" customHeight="1" x14ac:dyDescent="0.2">
      <c r="A6" s="237" t="s">
        <v>11</v>
      </c>
      <c r="B6" s="392"/>
      <c r="C6" s="238" t="str">
        <f>IF(B6="","Angabe verpflichtend","")</f>
        <v>Angabe verpflichtend</v>
      </c>
      <c r="D6" s="239"/>
      <c r="F6" s="240"/>
      <c r="G6" s="352"/>
      <c r="I6" s="240">
        <f t="shared" ref="I6:I14" si="0">IF(ISBLANK(B6),0,1)</f>
        <v>0</v>
      </c>
      <c r="J6" s="232"/>
      <c r="K6" s="232"/>
      <c r="L6" s="232"/>
      <c r="M6" s="232"/>
    </row>
    <row r="7" spans="1:16" ht="15" customHeight="1" x14ac:dyDescent="0.2">
      <c r="A7" s="241" t="s">
        <v>660</v>
      </c>
      <c r="B7" s="393"/>
      <c r="C7" s="238" t="str">
        <f t="shared" ref="C7:C10" si="1">IF(B7="","Angabe verpflichtend"," ")</f>
        <v>Angabe verpflichtend</v>
      </c>
      <c r="D7" s="239"/>
      <c r="E7" s="240"/>
      <c r="F7" s="240"/>
      <c r="G7" s="352"/>
      <c r="I7" s="240">
        <f t="shared" si="0"/>
        <v>0</v>
      </c>
      <c r="J7" s="232"/>
      <c r="K7" s="232"/>
      <c r="L7" s="232"/>
      <c r="M7" s="232"/>
    </row>
    <row r="8" spans="1:16" ht="15" customHeight="1" x14ac:dyDescent="0.2">
      <c r="A8" s="241" t="s">
        <v>12</v>
      </c>
      <c r="B8" s="394"/>
      <c r="C8" s="238" t="str">
        <f t="shared" si="1"/>
        <v>Angabe verpflichtend</v>
      </c>
      <c r="D8" s="239"/>
      <c r="I8" s="240">
        <f t="shared" si="0"/>
        <v>0</v>
      </c>
      <c r="J8" s="232"/>
      <c r="K8" s="232"/>
      <c r="L8" s="232"/>
      <c r="M8" s="232"/>
    </row>
    <row r="9" spans="1:16" ht="15" customHeight="1" x14ac:dyDescent="0.2">
      <c r="A9" s="241" t="s">
        <v>13</v>
      </c>
      <c r="B9" s="393"/>
      <c r="C9" s="238" t="str">
        <f t="shared" si="1"/>
        <v>Angabe verpflichtend</v>
      </c>
      <c r="D9" s="239"/>
      <c r="I9" s="240">
        <f t="shared" si="0"/>
        <v>0</v>
      </c>
      <c r="J9" s="232"/>
      <c r="K9" s="232"/>
      <c r="L9" s="232"/>
      <c r="M9" s="232"/>
    </row>
    <row r="10" spans="1:16" ht="15" customHeight="1" x14ac:dyDescent="0.2">
      <c r="A10" s="241" t="s">
        <v>14</v>
      </c>
      <c r="B10" s="393"/>
      <c r="C10" s="238" t="str">
        <f t="shared" si="1"/>
        <v>Angabe verpflichtend</v>
      </c>
      <c r="D10" s="239"/>
      <c r="I10" s="240">
        <f t="shared" si="0"/>
        <v>0</v>
      </c>
      <c r="J10" s="232"/>
      <c r="K10" s="232"/>
      <c r="L10" s="232"/>
      <c r="M10" s="232"/>
    </row>
    <row r="11" spans="1:16" ht="15" customHeight="1" x14ac:dyDescent="0.2">
      <c r="A11" s="241" t="s">
        <v>15</v>
      </c>
      <c r="B11" s="395"/>
      <c r="C11" s="238" t="str">
        <f>IF(B11="","Angabe verpflichtend",IF(B11&gt;999999999,"DUNS prüfen - Eingabe fehlerhaft"," "))</f>
        <v>Angabe verpflichtend</v>
      </c>
      <c r="D11" s="239"/>
      <c r="I11" s="240">
        <f t="shared" si="0"/>
        <v>0</v>
      </c>
      <c r="J11" s="232"/>
      <c r="K11" s="232"/>
      <c r="L11" s="232"/>
      <c r="M11" s="232"/>
    </row>
    <row r="12" spans="1:16" ht="14.25" x14ac:dyDescent="0.2">
      <c r="A12" s="241" t="s">
        <v>673</v>
      </c>
      <c r="B12" s="394"/>
      <c r="C12" s="243"/>
      <c r="D12" s="239"/>
      <c r="I12" s="240"/>
      <c r="J12" s="232"/>
      <c r="K12" s="232"/>
      <c r="L12" s="232"/>
      <c r="M12" s="232"/>
    </row>
    <row r="13" spans="1:16" ht="14.25" x14ac:dyDescent="0.2">
      <c r="A13" s="241" t="s">
        <v>673</v>
      </c>
      <c r="B13" s="394"/>
      <c r="C13" s="244"/>
      <c r="D13" s="239"/>
      <c r="I13" s="240"/>
      <c r="J13" s="232"/>
      <c r="K13" s="232"/>
      <c r="L13" s="232"/>
      <c r="M13" s="232"/>
    </row>
    <row r="14" spans="1:16" ht="15" customHeight="1" x14ac:dyDescent="0.2">
      <c r="A14" s="241" t="s">
        <v>16</v>
      </c>
      <c r="B14" s="394"/>
      <c r="C14" s="118" t="str">
        <f>IF(B14="",IF(ISERROR(VLOOKUP(B10,Tabelle1!D2:D29,1,)),"","Angabe verpflichtend"),"")</f>
        <v/>
      </c>
      <c r="D14" s="239"/>
      <c r="F14" s="232">
        <f>IF(B14="",IF(ISERROR(VLOOKUP(B10,Tabelle1!D2:D29,1,)),0,1),0)</f>
        <v>0</v>
      </c>
      <c r="I14" s="240">
        <f t="shared" si="0"/>
        <v>0</v>
      </c>
      <c r="J14" s="232"/>
      <c r="K14" s="232"/>
      <c r="L14" s="232"/>
      <c r="M14" s="232"/>
    </row>
    <row r="15" spans="1:16" ht="26.25" customHeight="1" x14ac:dyDescent="0.2">
      <c r="A15" s="245" t="s">
        <v>664</v>
      </c>
      <c r="B15" s="242"/>
      <c r="C15" s="238" t="str">
        <f t="shared" ref="C15:C16" si="2">IF(B15="","Angabe verpflichtend"," ")</f>
        <v>Angabe verpflichtend</v>
      </c>
      <c r="D15" s="246" t="str">
        <f>IF(B15&lt;&gt;"",IF(B15="ja","! Gehe zu Zeile 28",""),"")</f>
        <v/>
      </c>
      <c r="I15" s="240">
        <f>IF(ISBLANK(B15),0,1)</f>
        <v>0</v>
      </c>
      <c r="J15" s="232"/>
      <c r="K15" s="232"/>
      <c r="L15" s="232"/>
      <c r="M15" s="232"/>
    </row>
    <row r="16" spans="1:16" s="250" customFormat="1" ht="27.75" customHeight="1" x14ac:dyDescent="0.2">
      <c r="A16" s="247" t="s">
        <v>665</v>
      </c>
      <c r="B16" s="248"/>
      <c r="C16" s="238" t="str">
        <f t="shared" si="2"/>
        <v>Angabe verpflichtend</v>
      </c>
      <c r="D16" s="246" t="str">
        <f>IF(B16&lt;&gt;"",IF(B16="ja","! Gehe zu Zeile 36",""),"")</f>
        <v/>
      </c>
      <c r="E16" s="249"/>
      <c r="F16" s="249"/>
      <c r="I16" s="240">
        <f>IF(ISBLANK(B16),0,1)</f>
        <v>0</v>
      </c>
      <c r="J16" s="249">
        <f>SUM(I15:I16)</f>
        <v>0</v>
      </c>
      <c r="K16" s="249"/>
      <c r="L16" s="249"/>
      <c r="M16" s="249"/>
    </row>
    <row r="17" spans="1:15" ht="12" customHeight="1" x14ac:dyDescent="0.2">
      <c r="A17" s="251"/>
      <c r="B17" s="251"/>
      <c r="C17" s="232">
        <f>J17</f>
        <v>0</v>
      </c>
      <c r="I17" s="252"/>
      <c r="J17" s="232">
        <f>SUM(I6:I16)</f>
        <v>0</v>
      </c>
      <c r="K17" s="232"/>
      <c r="L17" s="232"/>
      <c r="M17" s="232"/>
    </row>
    <row r="18" spans="1:15" ht="16.5" customHeight="1" x14ac:dyDescent="0.2">
      <c r="A18" s="997" t="s">
        <v>663</v>
      </c>
      <c r="B18" s="991"/>
      <c r="C18" s="253"/>
      <c r="D18" s="235"/>
      <c r="E18" s="235"/>
      <c r="F18" s="235"/>
      <c r="G18" s="236"/>
      <c r="H18" s="236"/>
      <c r="I18" s="235"/>
      <c r="J18" s="235"/>
      <c r="K18" s="235"/>
      <c r="L18" s="232"/>
      <c r="M18" s="235"/>
      <c r="N18" s="236"/>
      <c r="O18" s="236"/>
    </row>
    <row r="19" spans="1:15" ht="15" customHeight="1" x14ac:dyDescent="0.2">
      <c r="A19" s="254" t="s">
        <v>11</v>
      </c>
      <c r="B19" s="396"/>
      <c r="C19" s="255"/>
      <c r="D19" s="256"/>
      <c r="I19" s="240"/>
      <c r="J19" s="232"/>
      <c r="K19" s="232"/>
      <c r="L19" s="232"/>
      <c r="M19" s="232"/>
    </row>
    <row r="20" spans="1:15" ht="15" customHeight="1" x14ac:dyDescent="0.2">
      <c r="A20" s="254" t="s">
        <v>660</v>
      </c>
      <c r="B20" s="397"/>
      <c r="C20" s="255"/>
      <c r="D20" s="256"/>
      <c r="I20" s="240"/>
      <c r="J20" s="232"/>
      <c r="K20" s="232"/>
      <c r="L20" s="232"/>
      <c r="M20" s="232"/>
    </row>
    <row r="21" spans="1:15" ht="15" customHeight="1" x14ac:dyDescent="0.2">
      <c r="A21" s="254" t="s">
        <v>12</v>
      </c>
      <c r="B21" s="398"/>
      <c r="C21" s="255"/>
      <c r="D21" s="256"/>
      <c r="I21" s="240"/>
      <c r="J21" s="232"/>
      <c r="K21" s="232"/>
      <c r="L21" s="232"/>
      <c r="M21" s="232"/>
    </row>
    <row r="22" spans="1:15" ht="15" customHeight="1" x14ac:dyDescent="0.2">
      <c r="A22" s="254" t="s">
        <v>13</v>
      </c>
      <c r="B22" s="397"/>
      <c r="C22" s="255"/>
      <c r="D22" s="256"/>
      <c r="I22" s="240"/>
      <c r="J22" s="232"/>
      <c r="K22" s="232"/>
      <c r="L22" s="232"/>
      <c r="M22" s="232"/>
    </row>
    <row r="23" spans="1:15" ht="15" customHeight="1" x14ac:dyDescent="0.2">
      <c r="A23" s="254" t="s">
        <v>14</v>
      </c>
      <c r="B23" s="397"/>
      <c r="C23" s="255"/>
      <c r="D23" s="256"/>
      <c r="I23" s="240"/>
      <c r="J23" s="232"/>
      <c r="K23" s="232"/>
      <c r="L23" s="232"/>
      <c r="M23" s="232"/>
    </row>
    <row r="24" spans="1:15" ht="15" customHeight="1" x14ac:dyDescent="0.2">
      <c r="A24" s="257" t="s">
        <v>17</v>
      </c>
      <c r="B24" s="421"/>
      <c r="C24" s="255" t="str">
        <f>IF(B24&lt;&gt;"",IF(Tabelle1!H13="gültig","WICHTIG: Versand im Papierformat entfällt komplett","Email-Adresse fehlerhaft, Eintrag korrigieren"),"")</f>
        <v/>
      </c>
      <c r="I24" s="240">
        <f>IF(C24="Email-Adresse fehlerhaft, Eintrag korrigieren",0,1)</f>
        <v>1</v>
      </c>
      <c r="J24" s="232"/>
      <c r="K24" s="232"/>
      <c r="L24" s="232"/>
      <c r="M24" s="232"/>
    </row>
    <row r="25" spans="1:15" ht="13.5" customHeight="1" x14ac:dyDescent="0.2">
      <c r="A25" s="258" t="s">
        <v>666</v>
      </c>
      <c r="B25" s="259"/>
      <c r="I25" s="232"/>
      <c r="J25" s="232"/>
      <c r="K25" s="232"/>
      <c r="L25" s="232"/>
      <c r="M25" s="232"/>
    </row>
    <row r="26" spans="1:15" ht="3" customHeight="1" x14ac:dyDescent="0.2">
      <c r="A26" s="31"/>
      <c r="B26" s="31"/>
      <c r="I26" s="232"/>
      <c r="J26" s="232"/>
      <c r="K26" s="232"/>
      <c r="L26" s="232"/>
      <c r="M26" s="232"/>
    </row>
    <row r="27" spans="1:15" s="232" customFormat="1" ht="13.5" customHeight="1" x14ac:dyDescent="0.2">
      <c r="A27" s="260"/>
      <c r="B27" s="260"/>
      <c r="C27" s="231"/>
      <c r="D27" s="232">
        <f>IF($G$2="OK, nächster Schritt",100,0)</f>
        <v>0</v>
      </c>
      <c r="G27" s="231"/>
      <c r="H27" s="231"/>
      <c r="N27" s="231"/>
      <c r="O27" s="231"/>
    </row>
    <row r="28" spans="1:15" s="232" customFormat="1" ht="15" customHeight="1" x14ac:dyDescent="0.2">
      <c r="A28" s="1074" t="str">
        <f>IF($B$15="ja","ZEILE 28 vom Vertragsstandort abweichender Standort der technischen Anbindung","")</f>
        <v/>
      </c>
      <c r="B28" s="1075"/>
      <c r="C28" s="234" t="str">
        <f>IF($B$15="ja",IF($J$34&lt;5,"STOPP! Tabelle unvollständig","Tabelle vollständig"),"")</f>
        <v/>
      </c>
      <c r="G28" s="231"/>
      <c r="H28" s="231"/>
      <c r="N28" s="231"/>
      <c r="O28" s="231"/>
    </row>
    <row r="29" spans="1:15" s="232" customFormat="1" ht="15" customHeight="1" x14ac:dyDescent="0.2">
      <c r="A29" s="261" t="str">
        <f>IF(B15="ja","Firma","")</f>
        <v/>
      </c>
      <c r="B29" s="399"/>
      <c r="C29" s="124" t="str">
        <f>IF($B$15="ja",IF(B29="","Angabe verpflichtend"," "),"")</f>
        <v/>
      </c>
      <c r="D29" s="239"/>
      <c r="G29" s="231"/>
      <c r="H29" s="231"/>
      <c r="I29" s="240">
        <f t="shared" ref="I29:I34" si="3">IF(ISBLANK(B29),0,1)</f>
        <v>0</v>
      </c>
      <c r="N29" s="231"/>
      <c r="O29" s="231"/>
    </row>
    <row r="30" spans="1:15" s="232" customFormat="1" ht="15" customHeight="1" x14ac:dyDescent="0.2">
      <c r="A30" s="261" t="str">
        <f>IF($B$15="ja","Strasse","")</f>
        <v/>
      </c>
      <c r="B30" s="399"/>
      <c r="C30" s="124" t="str">
        <f>IF($B$15="ja",IF(B30="","Angabe verpflichtend"," "),"")</f>
        <v/>
      </c>
      <c r="D30" s="239"/>
      <c r="G30" s="231"/>
      <c r="H30" s="231"/>
      <c r="I30" s="240">
        <f>IF(ISBLANK(B30),0,1)</f>
        <v>0</v>
      </c>
      <c r="N30" s="231"/>
      <c r="O30" s="231"/>
    </row>
    <row r="31" spans="1:15" s="232" customFormat="1" ht="15" customHeight="1" x14ac:dyDescent="0.2">
      <c r="A31" s="261" t="str">
        <f>IF($B$15="ja","PLZ","")</f>
        <v/>
      </c>
      <c r="B31" s="400"/>
      <c r="C31" s="124" t="str">
        <f>IF($B$15="ja",IF(B31="","Angabe verpflichtend"," "),"")</f>
        <v/>
      </c>
      <c r="D31" s="239"/>
      <c r="G31" s="231"/>
      <c r="H31" s="231"/>
      <c r="I31" s="240">
        <f t="shared" si="3"/>
        <v>0</v>
      </c>
      <c r="N31" s="231"/>
      <c r="O31" s="231"/>
    </row>
    <row r="32" spans="1:15" s="232" customFormat="1" ht="15" customHeight="1" x14ac:dyDescent="0.2">
      <c r="A32" s="261" t="str">
        <f>IF($B$15="ja","Ort","")</f>
        <v/>
      </c>
      <c r="B32" s="399"/>
      <c r="C32" s="124" t="str">
        <f>IF($B$15="ja",IF(B32="","Angabe verpflichtend"," "),"")</f>
        <v/>
      </c>
      <c r="D32" s="239"/>
      <c r="G32" s="231"/>
      <c r="H32" s="231"/>
      <c r="I32" s="240">
        <f t="shared" si="3"/>
        <v>0</v>
      </c>
      <c r="N32" s="231"/>
      <c r="O32" s="231"/>
    </row>
    <row r="33" spans="1:15" s="232" customFormat="1" ht="15" customHeight="1" x14ac:dyDescent="0.2">
      <c r="A33" s="261" t="str">
        <f>IF($B$15="ja","Land","")</f>
        <v/>
      </c>
      <c r="B33" s="399"/>
      <c r="C33" s="124" t="str">
        <f>IF($B$15="ja",IF(B33="","Angabe verpflichtend"," "),"")</f>
        <v/>
      </c>
      <c r="D33" s="239"/>
      <c r="G33" s="231"/>
      <c r="H33" s="231"/>
      <c r="I33" s="240">
        <f t="shared" si="3"/>
        <v>0</v>
      </c>
      <c r="N33" s="231"/>
      <c r="O33" s="231"/>
    </row>
    <row r="34" spans="1:15" s="232" customFormat="1" ht="15" customHeight="1" x14ac:dyDescent="0.2">
      <c r="A34" s="261" t="str">
        <f>IF($B$15="ja","DUNS-Nummer für diesen Standort","")</f>
        <v/>
      </c>
      <c r="B34" s="401"/>
      <c r="C34" s="124" t="str">
        <f>IF($B$15="ja",IF(B34&lt;&gt;"","",IF(B34="","Angabe erwünscht"," ")),"")</f>
        <v/>
      </c>
      <c r="D34" s="239" t="str">
        <f>IF(B34&lt;&gt;"",IF(B43="","",""),"")</f>
        <v/>
      </c>
      <c r="G34" s="231"/>
      <c r="H34" s="231"/>
      <c r="I34" s="240">
        <f t="shared" si="3"/>
        <v>0</v>
      </c>
      <c r="J34" s="232">
        <f>SUM(I29:I33)</f>
        <v>0</v>
      </c>
      <c r="L34" s="232" t="str">
        <f>IF(I15=2,IF(J34=5,"vollständig","unvollständig"),IF(I15=0,"Auswahl offen","nr"))</f>
        <v>Auswahl offen</v>
      </c>
      <c r="N34" s="231"/>
      <c r="O34" s="231"/>
    </row>
    <row r="35" spans="1:15" s="232" customFormat="1" ht="20.25" customHeight="1" x14ac:dyDescent="0.2">
      <c r="A35" s="262"/>
      <c r="B35" s="263" t="str">
        <f>IF(B34="","",IF(B34=$B$11,"DUNS-Nummer identisch zum Vertragsstandort. Beachten Sie, dass pro Standort eine eigene DUNS-Nummer anzugeben ist.",""))</f>
        <v/>
      </c>
      <c r="C35" s="264"/>
      <c r="G35" s="231"/>
      <c r="H35" s="231"/>
      <c r="N35" s="231"/>
      <c r="O35" s="231"/>
    </row>
    <row r="36" spans="1:15" s="232" customFormat="1" ht="15" customHeight="1" x14ac:dyDescent="0.2">
      <c r="A36" s="1071" t="str">
        <f>IF($B$16="ja","ZEILE 36 vom Vertragsstandort abweichender Standort des Datenaustauschs","")</f>
        <v/>
      </c>
      <c r="B36" s="1071"/>
      <c r="C36" s="234" t="str">
        <f>IF($B$16="ja",IF($J$43&lt;7,"STOPP! Tabelle unvollständig oder Angaben nicht korrekt","Tabelle vollständig"),"")</f>
        <v/>
      </c>
      <c r="G36" s="231"/>
      <c r="H36" s="231"/>
      <c r="N36" s="231"/>
      <c r="O36" s="231"/>
    </row>
    <row r="37" spans="1:15" s="232" customFormat="1" ht="15" customHeight="1" x14ac:dyDescent="0.2">
      <c r="A37" s="261" t="str">
        <f>IF($B$16="ja","Firma","")</f>
        <v/>
      </c>
      <c r="B37" s="399"/>
      <c r="C37" s="124" t="str">
        <f t="shared" ref="C37:C42" si="4">IF($B$16="ja",IF(B37="","Angabe verpflichtend"," "),"")</f>
        <v/>
      </c>
      <c r="D37" s="239"/>
      <c r="G37" s="231"/>
      <c r="H37" s="231"/>
      <c r="I37" s="240">
        <f t="shared" ref="I37:I42" si="5">IF(ISBLANK(B37),0,1)</f>
        <v>0</v>
      </c>
      <c r="N37" s="231"/>
      <c r="O37" s="231"/>
    </row>
    <row r="38" spans="1:15" s="232" customFormat="1" ht="15" customHeight="1" x14ac:dyDescent="0.2">
      <c r="A38" s="261" t="str">
        <f>IF($B$16="ja","Strasse","")</f>
        <v/>
      </c>
      <c r="B38" s="399"/>
      <c r="C38" s="124" t="str">
        <f t="shared" si="4"/>
        <v/>
      </c>
      <c r="D38" s="239"/>
      <c r="G38" s="231"/>
      <c r="H38" s="231"/>
      <c r="I38" s="240">
        <f t="shared" si="5"/>
        <v>0</v>
      </c>
      <c r="N38" s="231"/>
      <c r="O38" s="231"/>
    </row>
    <row r="39" spans="1:15" s="232" customFormat="1" ht="15" customHeight="1" x14ac:dyDescent="0.2">
      <c r="A39" s="261" t="str">
        <f>IF($B$16="ja","PLZ","")</f>
        <v/>
      </c>
      <c r="B39" s="400"/>
      <c r="C39" s="124" t="str">
        <f t="shared" si="4"/>
        <v/>
      </c>
      <c r="D39" s="239"/>
      <c r="G39" s="231"/>
      <c r="H39" s="231"/>
      <c r="I39" s="240">
        <f t="shared" si="5"/>
        <v>0</v>
      </c>
      <c r="N39" s="231"/>
      <c r="O39" s="231"/>
    </row>
    <row r="40" spans="1:15" s="232" customFormat="1" ht="15" customHeight="1" x14ac:dyDescent="0.2">
      <c r="A40" s="261" t="str">
        <f>IF($B$16="ja","Ort","")</f>
        <v/>
      </c>
      <c r="B40" s="399"/>
      <c r="C40" s="124" t="str">
        <f t="shared" si="4"/>
        <v/>
      </c>
      <c r="D40" s="239"/>
      <c r="G40" s="231"/>
      <c r="H40" s="231"/>
      <c r="I40" s="240">
        <f t="shared" si="5"/>
        <v>0</v>
      </c>
      <c r="N40" s="231"/>
      <c r="O40" s="231"/>
    </row>
    <row r="41" spans="1:15" s="232" customFormat="1" ht="15" customHeight="1" x14ac:dyDescent="0.2">
      <c r="A41" s="261" t="str">
        <f>IF($B$16="ja","Land","")</f>
        <v/>
      </c>
      <c r="B41" s="399"/>
      <c r="C41" s="124" t="str">
        <f t="shared" si="4"/>
        <v/>
      </c>
      <c r="D41" s="239"/>
      <c r="G41" s="231"/>
      <c r="H41" s="231"/>
      <c r="I41" s="240">
        <f t="shared" si="5"/>
        <v>0</v>
      </c>
      <c r="N41" s="231"/>
      <c r="O41" s="231"/>
    </row>
    <row r="42" spans="1:15" s="232" customFormat="1" ht="15" customHeight="1" x14ac:dyDescent="0.2">
      <c r="A42" s="261" t="str">
        <f>IF($B$16="ja","DUNS-Nummer für diesen Standort","")</f>
        <v/>
      </c>
      <c r="B42" s="401"/>
      <c r="C42" s="124" t="str">
        <f t="shared" si="4"/>
        <v/>
      </c>
      <c r="D42" s="239"/>
      <c r="G42" s="231"/>
      <c r="H42" s="231"/>
      <c r="I42" s="240">
        <f t="shared" si="5"/>
        <v>0</v>
      </c>
      <c r="N42" s="231"/>
      <c r="O42" s="231"/>
    </row>
    <row r="43" spans="1:15" s="232" customFormat="1" ht="13.5" customHeight="1" x14ac:dyDescent="0.2">
      <c r="B43" s="265" t="str">
        <f>IF(B42="","",IF(B42=$B$11,"DUNS-Nummer identisch zum Vertragsstandort. Beachten Sie, dass pro Standort eine eigene DUNS-Nummer anzugeben ist.",""))</f>
        <v/>
      </c>
      <c r="C43" s="231"/>
      <c r="G43" s="231"/>
      <c r="H43" s="231"/>
      <c r="I43" s="240">
        <f>IF(B43&lt;&gt;"",0,1)</f>
        <v>1</v>
      </c>
      <c r="J43" s="232">
        <f>SUM(I37:I43)</f>
        <v>1</v>
      </c>
      <c r="L43" s="232" t="str">
        <f>IF(I16=4,IF(J43=6,"vollständig","unvollständig"),IF(I16=0,"Auswahl offen","nr"))</f>
        <v>Auswahl offen</v>
      </c>
      <c r="N43" s="231"/>
      <c r="O43" s="231"/>
    </row>
    <row r="44" spans="1:15" s="232" customFormat="1" ht="15" customHeight="1" x14ac:dyDescent="0.2">
      <c r="A44" s="266" t="str">
        <f>IF(B16="ja","HINWEIS: Gibt es mehr als 1 zusätzlichen Datenaustausch-Standort, sind diese weiteren formlos per Email nachträglich nach dem Muster aus Zeilen 34 bis 39 anzuzeigen.","")</f>
        <v/>
      </c>
      <c r="C44" s="231"/>
      <c r="G44" s="231"/>
      <c r="H44" s="231"/>
      <c r="N44" s="231"/>
      <c r="O44" s="231"/>
    </row>
    <row r="45" spans="1:15" s="232" customFormat="1" ht="21" customHeight="1" x14ac:dyDescent="0.2">
      <c r="C45" s="231"/>
      <c r="G45" s="231"/>
      <c r="H45" s="231"/>
      <c r="I45" s="232">
        <f>SUM(I6:I44)</f>
        <v>2</v>
      </c>
      <c r="N45" s="231"/>
      <c r="O45" s="231"/>
    </row>
    <row r="46" spans="1:15" s="232" customFormat="1" ht="15" customHeight="1" x14ac:dyDescent="0.2">
      <c r="C46" s="231"/>
      <c r="D46" s="231"/>
      <c r="G46" s="231"/>
      <c r="H46" s="231"/>
      <c r="N46" s="231"/>
      <c r="O46" s="231"/>
    </row>
    <row r="47" spans="1:15" s="232" customFormat="1" ht="15" customHeight="1" x14ac:dyDescent="0.2">
      <c r="D47" s="232">
        <f>IF(C5="Tabelle vollständig",1,0)</f>
        <v>0</v>
      </c>
      <c r="G47" s="231"/>
      <c r="H47" s="231"/>
      <c r="N47" s="231"/>
      <c r="O47" s="231"/>
    </row>
    <row r="48" spans="1:15" s="232" customFormat="1" ht="15" customHeight="1" x14ac:dyDescent="0.2">
      <c r="D48" s="232">
        <f>IF(C28="",0,IF(C28="Tabelle vollständig",1,10))</f>
        <v>0</v>
      </c>
      <c r="G48" s="231"/>
      <c r="H48" s="231"/>
      <c r="N48" s="231"/>
      <c r="O48" s="231"/>
    </row>
    <row r="49" spans="3:15" s="232" customFormat="1" ht="15" customHeight="1" x14ac:dyDescent="0.2">
      <c r="D49" s="232">
        <f>IF(C36="",0,IF(C36="Tabelle vollständig",1,10))</f>
        <v>0</v>
      </c>
      <c r="G49" s="231"/>
      <c r="H49" s="231"/>
      <c r="N49" s="231"/>
      <c r="O49" s="231"/>
    </row>
    <row r="50" spans="3:15" s="232" customFormat="1" ht="15" customHeight="1" x14ac:dyDescent="0.2">
      <c r="D50" s="232">
        <f>SUM(D47:D49)</f>
        <v>0</v>
      </c>
      <c r="G50" s="231"/>
      <c r="H50" s="231"/>
      <c r="N50" s="231"/>
      <c r="O50" s="231"/>
    </row>
    <row r="51" spans="3:15" s="232" customFormat="1" ht="15" customHeight="1" x14ac:dyDescent="0.2">
      <c r="C51" s="231"/>
      <c r="D51" s="231"/>
      <c r="G51" s="231"/>
      <c r="H51" s="231"/>
      <c r="N51" s="231"/>
      <c r="O51" s="231"/>
    </row>
    <row r="52" spans="3:15" s="232" customFormat="1" ht="15" customHeight="1" x14ac:dyDescent="0.2">
      <c r="C52" s="231"/>
      <c r="D52" s="231"/>
      <c r="G52" s="231"/>
      <c r="H52" s="231"/>
      <c r="N52" s="231"/>
      <c r="O52" s="231"/>
    </row>
    <row r="53" spans="3:15" s="232" customFormat="1" ht="15" customHeight="1" x14ac:dyDescent="0.2">
      <c r="C53" s="231"/>
      <c r="G53" s="231"/>
      <c r="H53" s="231"/>
      <c r="N53" s="231"/>
      <c r="O53" s="231"/>
    </row>
    <row r="54" spans="3:15" s="232" customFormat="1" ht="15" customHeight="1" x14ac:dyDescent="0.2">
      <c r="C54" s="231"/>
      <c r="G54" s="231"/>
      <c r="H54" s="231"/>
      <c r="N54" s="231"/>
      <c r="O54" s="231"/>
    </row>
  </sheetData>
  <sheetProtection algorithmName="SHA-512" hashValue="mvU6DA+yXewMmH1RJZp4EwAH/MCwah4rpQgMSnTEiX9R92WMYHyHySiVRiB4htntTfGymrnCkWZuEWJ4aJGc9A==" saltValue="cBeWweSqw6DhjGF/Y6muoQ==" spinCount="100000" sheet="1" objects="1" scenarios="1" formatCells="0"/>
  <mergeCells count="6">
    <mergeCell ref="A36:B36"/>
    <mergeCell ref="D4:F4"/>
    <mergeCell ref="A5:B5"/>
    <mergeCell ref="A18:B18"/>
    <mergeCell ref="A28:B28"/>
    <mergeCell ref="A4:C4"/>
  </mergeCells>
  <conditionalFormatting sqref="B16">
    <cfRule type="containsBlanks" dxfId="22" priority="39">
      <formula>LEN(TRIM(B16))=0</formula>
    </cfRule>
  </conditionalFormatting>
  <conditionalFormatting sqref="A28:B28">
    <cfRule type="expression" dxfId="21" priority="16">
      <formula>$C$28="Tabelle vollständig"</formula>
    </cfRule>
    <cfRule type="expression" dxfId="20" priority="29">
      <formula>$B$15="ja"</formula>
    </cfRule>
  </conditionalFormatting>
  <conditionalFormatting sqref="A29:A34">
    <cfRule type="expression" dxfId="19" priority="28">
      <formula>$B$15="ja"</formula>
    </cfRule>
  </conditionalFormatting>
  <conditionalFormatting sqref="B7:B11">
    <cfRule type="containsBlanks" dxfId="18" priority="37">
      <formula>LEN(TRIM(B7))=0</formula>
    </cfRule>
  </conditionalFormatting>
  <conditionalFormatting sqref="B14">
    <cfRule type="expression" dxfId="17" priority="38">
      <formula>$F$14=1</formula>
    </cfRule>
  </conditionalFormatting>
  <conditionalFormatting sqref="B15">
    <cfRule type="containsBlanks" dxfId="16" priority="25">
      <formula>LEN(TRIM(B15))=0</formula>
    </cfRule>
  </conditionalFormatting>
  <conditionalFormatting sqref="A36:B36">
    <cfRule type="expression" dxfId="15" priority="15">
      <formula>$C$36="Tabelle vollständig"</formula>
    </cfRule>
    <cfRule type="expression" dxfId="14" priority="24">
      <formula>$B$16="ja"</formula>
    </cfRule>
  </conditionalFormatting>
  <conditionalFormatting sqref="A37:A42">
    <cfRule type="expression" dxfId="13" priority="23">
      <formula>$B$16="ja"</formula>
    </cfRule>
  </conditionalFormatting>
  <conditionalFormatting sqref="C5">
    <cfRule type="cellIs" dxfId="12" priority="21" operator="equal">
      <formula>"STOPP! Tabelle unvollständig"</formula>
    </cfRule>
    <cfRule type="cellIs" dxfId="11" priority="22" operator="equal">
      <formula>"Tabelle vollständig"</formula>
    </cfRule>
  </conditionalFormatting>
  <conditionalFormatting sqref="C28">
    <cfRule type="cellIs" dxfId="10" priority="19" operator="equal">
      <formula>"STOPP! Tabelle unvollständig"</formula>
    </cfRule>
    <cfRule type="cellIs" dxfId="9" priority="20" operator="equal">
      <formula>"Tabelle vollständig"</formula>
    </cfRule>
  </conditionalFormatting>
  <conditionalFormatting sqref="C36">
    <cfRule type="cellIs" dxfId="8" priority="17" operator="equal">
      <formula>"STOPP! Tabelle unvollständig oder Angaben nicht korrekt"</formula>
    </cfRule>
    <cfRule type="cellIs" dxfId="7" priority="18" operator="equal">
      <formula>"Tabelle vollständig"</formula>
    </cfRule>
  </conditionalFormatting>
  <conditionalFormatting sqref="B29:B34">
    <cfRule type="expression" dxfId="6" priority="13">
      <formula>$B$15="ja"</formula>
    </cfRule>
  </conditionalFormatting>
  <conditionalFormatting sqref="B37:B42">
    <cfRule type="expression" dxfId="5" priority="12">
      <formula>$B$16="ja"</formula>
    </cfRule>
  </conditionalFormatting>
  <conditionalFormatting sqref="A18:B18">
    <cfRule type="expression" dxfId="4" priority="11">
      <formula>COUNTBLANK($B$19:$B$23)&gt;0</formula>
    </cfRule>
  </conditionalFormatting>
  <conditionalFormatting sqref="A5:B5">
    <cfRule type="expression" dxfId="3" priority="10">
      <formula>COUNTBLANK($B$6:$B$11)&gt;0</formula>
    </cfRule>
  </conditionalFormatting>
  <conditionalFormatting sqref="B11">
    <cfRule type="expression" dxfId="2" priority="6">
      <formula>$C$11="DUNS prüfen - Eingabe fehlerhaft"</formula>
    </cfRule>
  </conditionalFormatting>
  <conditionalFormatting sqref="C24">
    <cfRule type="cellIs" dxfId="1" priority="5" operator="equal">
      <formula>"Email-Adresse fehlerhaft, Eintrag korrigieren"</formula>
    </cfRule>
  </conditionalFormatting>
  <dataValidations count="10">
    <dataValidation allowBlank="1" showInputMessage="1" showErrorMessage="1" prompt="ACHTUNG: Tragen Sie die Firmenbezeichnung wie im Handelsregister ein" sqref="B6 B19 B29 B37" xr:uid="{00000000-0002-0000-1000-000000000000}"/>
    <dataValidation type="whole" allowBlank="1" showInputMessage="1" showErrorMessage="1" error="Geben Sie die DUNS als fortlaufende 9-stellige Ziffernfolge ohne &quot;-&quot; ein " prompt="Sie können über www.upik.de Ihre DUNS Nummer recherchieren oder eine DUNS Nummer beantragen._x000a__x000a_Geben Sie die DUNS als fortlaufende 9-stellige Ziffernfolge ohne &quot;-&quot; ein " sqref="B11" xr:uid="{00000000-0002-0000-1000-000001000000}">
      <formula1>111111111</formula1>
      <formula2>9999999999</formula2>
    </dataValidation>
    <dataValidation allowBlank="1" showInputMessage="1" showErrorMessage="1" prompt="Angabe nur wenn ein elektronischer Rechnungsversand im .pdf Format gewünscht wird. _x000a_Bitte beachten Sie, dass in diesem Fall der _x000a_Versand in Papierform komplett entfällt._x000a_" sqref="B24" xr:uid="{00000000-0002-0000-1000-000002000000}"/>
    <dataValidation allowBlank="1" showInputMessage="1" showErrorMessage="1" prompt="Weicht die Anschrift des technischen Anbindungsortes vom Vertragsstandort ab, ist die Angabe einer DUNS-Nummer erwünscht. _x000a__x000a_Geben Sie die DUNS als fortlaufende 9-stellige Ziffernfolge ohne &quot;-&quot; ein._x000a_" sqref="B34" xr:uid="{00000000-0002-0000-1000-000003000000}"/>
    <dataValidation allowBlank="1" showInputMessage="1" showErrorMessage="1" prompt="Installations-_x000a_standort der Zugangstechnik_x000a__x000a_WICHTIG: Ist der technische Anbindungsort gleichzeitig Standort für den Datenaustausch, muss die nächste Zeile zusätzlich mit &quot;ja&quot; beantwortet werden und beide zusätzlichen Adressbereiche sind zu befüllen." sqref="A15" xr:uid="{00000000-0002-0000-1000-000004000000}"/>
    <dataValidation allowBlank="1" showInputMessage="1" showErrorMessage="1" prompt="Standort(e):_x000a_- an denen User auf die Konzern-Services zugreifen_x000a_" sqref="A16" xr:uid="{00000000-0002-0000-1000-000005000000}"/>
    <dataValidation allowBlank="1" showInputMessage="1" showErrorMessage="1" prompt="Für Standort mit Datenaustausch ist eine DUNS-Nummer erforderlich._x000a_Weicht die Anschrift dieses Standortes vom Vertragsstandort ab, muss eine weitere DUNS-Nummer benannt werden._x000a__x000a_Geben Sie die DUNS als fortlaufende 9-stellige Ziffernfolge ohne &quot;-&quot; ein." sqref="B42" xr:uid="{00000000-0002-0000-1000-000006000000}"/>
    <dataValidation allowBlank="1" showInputMessage="1" showErrorMessage="1" prompt="Hinweis: Angabe der Lieferantennummer und Marke" sqref="B12" xr:uid="{00000000-0002-0000-1000-000007000000}"/>
    <dataValidation allowBlank="1" showInputMessage="1" showErrorMessage="1" prompt="Hinweis: Angabe der Lieferantennummer und Marke_x000a__x000a_Weitere Lieferantennummern für weitere Marken formlos per E-Mail anzeigen" sqref="B13" xr:uid="{00000000-0002-0000-1000-000008000000}"/>
    <dataValidation allowBlank="1" showInputMessage="1" showErrorMessage="1" prompt="Angabe verpflichtend für EU Mitgliedsstaaten" sqref="B14" xr:uid="{00000000-0002-0000-1000-000009000000}"/>
  </dataValidations>
  <hyperlinks>
    <hyperlink ref="D15" location="Unternehmensdaten!A29" display="Unternehmensdaten!A29" xr:uid="{00000000-0004-0000-1000-000000000000}"/>
    <hyperlink ref="D16" location="Unternehmensdaten!A37" display="Unternehmensdaten!A37" xr:uid="{00000000-0004-0000-1000-000001000000}"/>
  </hyperlinks>
  <pageMargins left="0.38" right="0.27559055118110237" top="0.35" bottom="0.38" header="0.23" footer="0.31496062992125984"/>
  <pageSetup paperSize="9" scale="95" orientation="landscape" r:id="rId1"/>
  <drawing r:id="rId2"/>
  <extLst>
    <ext xmlns:x14="http://schemas.microsoft.com/office/spreadsheetml/2009/9/main" uri="{78C0D931-6437-407d-A8EE-F0AAD7539E65}">
      <x14:conditionalFormattings>
        <x14:conditionalFormatting xmlns:xm="http://schemas.microsoft.com/office/excel/2006/main">
          <x14:cfRule type="notContainsText" priority="35" operator="notContains" id="{C841490A-6C71-4BF7-90A1-0C9BECB1A30B}">
            <xm:f>ISERROR(SEARCH($B$6,B6))</xm:f>
            <xm:f>$B$6</xm:f>
            <x14:dxf>
              <fill>
                <patternFill>
                  <bgColor rgb="FFFF0000"/>
                </patternFill>
              </fill>
            </x14:dxf>
          </x14:cfRule>
          <xm:sqref>B6</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error="Nur   ja / nein  für Eingabe nutzen" prompt="Nutzen Sie die Auswahl _x000a__x000a_Bei Auswahl &quot;ja&quot; beachten Sie die weiteren notwendigen Standort-Daten ab Zeile 29._x000a__x000a_" xr:uid="{00000000-0002-0000-1000-00000A000000}">
          <x14:formula1>
            <xm:f>Stammdaten_de!$A$6:$A$7</xm:f>
          </x14:formula1>
          <xm:sqref>B15</xm:sqref>
        </x14:dataValidation>
        <x14:dataValidation type="list" allowBlank="1" showInputMessage="1" showErrorMessage="1" error="Benutzen Sie die Auswahl !" prompt="Nutzen sie die Auswahl" xr:uid="{00000000-0002-0000-1000-00000B000000}">
          <x14:formula1>
            <xm:f>public.landessprache!$A$2:$A$231</xm:f>
          </x14:formula1>
          <xm:sqref>B10</xm:sqref>
        </x14:dataValidation>
        <x14:dataValidation type="list" allowBlank="1" showInputMessage="1" showErrorMessage="1" error="Benutzen Sie die Auswahl !" prompt="Nutzen Sie die Auswahl" xr:uid="{00000000-0002-0000-1000-00000C000000}">
          <x14:formula1>
            <xm:f>public.landessprache!$A$2:$A$231</xm:f>
          </x14:formula1>
          <xm:sqref>B23 B33 B41</xm:sqref>
        </x14:dataValidation>
        <x14:dataValidation type="list" allowBlank="1" showInputMessage="1" showErrorMessage="1" error="Nur   ja / nein  für Eingabe nutzen" prompt="Nutzen Sie die Auswahl._x000a__x000a_Bei Auswahl &quot;ja&quot; beachten Sie die weiteren notwendigen Standort-Daten ab Zeile 37._x000a__x000a_Was sind Datenaustausch-Standort(e)?_x000a_Standorte an denen User auf die Konzern-Services zugreifen" xr:uid="{00000000-0002-0000-1000-00000D000000}">
          <x14:formula1>
            <xm:f>Stammdaten_de!$A$6:$A$7</xm:f>
          </x14:formula1>
          <xm:sqref>B16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40"/>
  <sheetViews>
    <sheetView topLeftCell="G1" workbookViewId="0">
      <selection activeCell="H1" sqref="H1"/>
    </sheetView>
  </sheetViews>
  <sheetFormatPr baseColWidth="10" defaultRowHeight="15" x14ac:dyDescent="0.25"/>
  <cols>
    <col min="1" max="1" width="33.140625" hidden="1" customWidth="1"/>
    <col min="2" max="6" width="0" hidden="1" customWidth="1"/>
    <col min="7" max="7" width="16.85546875" customWidth="1"/>
  </cols>
  <sheetData>
    <row r="1" spans="1:8" x14ac:dyDescent="0.25">
      <c r="A1" s="1" t="s">
        <v>21</v>
      </c>
      <c r="D1" t="s">
        <v>785</v>
      </c>
      <c r="H1" s="795" t="s">
        <v>1033</v>
      </c>
    </row>
    <row r="2" spans="1:8" x14ac:dyDescent="0.25">
      <c r="A2" s="1" t="s">
        <v>22</v>
      </c>
      <c r="D2" t="s">
        <v>787</v>
      </c>
      <c r="H2" s="787" t="s">
        <v>1036</v>
      </c>
    </row>
    <row r="3" spans="1:8" x14ac:dyDescent="0.25">
      <c r="A3" s="2" t="s">
        <v>10</v>
      </c>
      <c r="D3" t="s">
        <v>788</v>
      </c>
    </row>
    <row r="4" spans="1:8" x14ac:dyDescent="0.25">
      <c r="A4" s="1" t="s">
        <v>23</v>
      </c>
      <c r="D4" t="s">
        <v>786</v>
      </c>
    </row>
    <row r="5" spans="1:8" x14ac:dyDescent="0.25">
      <c r="A5" s="1"/>
      <c r="D5" t="s">
        <v>321</v>
      </c>
    </row>
    <row r="6" spans="1:8" x14ac:dyDescent="0.25">
      <c r="A6" s="1" t="s">
        <v>813</v>
      </c>
    </row>
    <row r="7" spans="1:8" x14ac:dyDescent="0.25">
      <c r="A7" s="1" t="s">
        <v>814</v>
      </c>
    </row>
    <row r="9" spans="1:8" x14ac:dyDescent="0.25">
      <c r="A9" s="1" t="s">
        <v>35</v>
      </c>
    </row>
    <row r="10" spans="1:8" x14ac:dyDescent="0.25">
      <c r="A10" s="1" t="s">
        <v>36</v>
      </c>
    </row>
    <row r="11" spans="1:8" x14ac:dyDescent="0.25">
      <c r="A11" s="1" t="s">
        <v>37</v>
      </c>
    </row>
    <row r="12" spans="1:8" x14ac:dyDescent="0.25">
      <c r="A12" s="1" t="s">
        <v>38</v>
      </c>
    </row>
    <row r="13" spans="1:8" x14ac:dyDescent="0.25">
      <c r="A13" s="1"/>
    </row>
    <row r="14" spans="1:8" x14ac:dyDescent="0.25">
      <c r="A14" s="1" t="s">
        <v>39</v>
      </c>
    </row>
    <row r="15" spans="1:8" x14ac:dyDescent="0.25">
      <c r="A15" s="1" t="s">
        <v>40</v>
      </c>
    </row>
    <row r="16" spans="1:8" x14ac:dyDescent="0.25">
      <c r="A16" s="1" t="s">
        <v>41</v>
      </c>
    </row>
    <row r="17" spans="1:1" x14ac:dyDescent="0.25">
      <c r="A17" s="1" t="s">
        <v>42</v>
      </c>
    </row>
    <row r="18" spans="1:1" x14ac:dyDescent="0.25">
      <c r="A18" s="1"/>
    </row>
    <row r="19" spans="1:1" x14ac:dyDescent="0.25">
      <c r="A19" s="1" t="s">
        <v>24</v>
      </c>
    </row>
    <row r="20" spans="1:1" x14ac:dyDescent="0.25">
      <c r="A20" s="1" t="s">
        <v>43</v>
      </c>
    </row>
    <row r="21" spans="1:1" x14ac:dyDescent="0.25">
      <c r="A21" s="1"/>
    </row>
    <row r="22" spans="1:1" x14ac:dyDescent="0.25">
      <c r="A22" s="1" t="s">
        <v>25</v>
      </c>
    </row>
    <row r="23" spans="1:1" x14ac:dyDescent="0.25">
      <c r="A23" s="1" t="s">
        <v>26</v>
      </c>
    </row>
    <row r="24" spans="1:1" x14ac:dyDescent="0.25">
      <c r="A24" s="1" t="s">
        <v>27</v>
      </c>
    </row>
    <row r="25" spans="1:1" x14ac:dyDescent="0.25">
      <c r="A25" s="1" t="s">
        <v>28</v>
      </c>
    </row>
    <row r="27" spans="1:1" x14ac:dyDescent="0.25">
      <c r="A27" s="1" t="s">
        <v>30</v>
      </c>
    </row>
    <row r="28" spans="1:1" x14ac:dyDescent="0.25">
      <c r="A28" s="1" t="s">
        <v>3</v>
      </c>
    </row>
    <row r="29" spans="1:1" x14ac:dyDescent="0.25">
      <c r="A29" s="1" t="s">
        <v>4</v>
      </c>
    </row>
    <row r="30" spans="1:1" x14ac:dyDescent="0.25">
      <c r="A30" s="1" t="s">
        <v>44</v>
      </c>
    </row>
    <row r="31" spans="1:1" x14ac:dyDescent="0.25">
      <c r="A31" s="1" t="s">
        <v>31</v>
      </c>
    </row>
    <row r="32" spans="1:1" x14ac:dyDescent="0.25">
      <c r="A32" s="1" t="s">
        <v>5</v>
      </c>
    </row>
    <row r="33" spans="1:1" x14ac:dyDescent="0.25">
      <c r="A33" s="1" t="s">
        <v>32</v>
      </c>
    </row>
    <row r="34" spans="1:1" x14ac:dyDescent="0.25">
      <c r="A34" s="1" t="s">
        <v>33</v>
      </c>
    </row>
    <row r="35" spans="1:1" x14ac:dyDescent="0.25">
      <c r="A35" s="1" t="s">
        <v>7</v>
      </c>
    </row>
    <row r="36" spans="1:1" x14ac:dyDescent="0.25">
      <c r="A36" s="1" t="s">
        <v>8</v>
      </c>
    </row>
    <row r="38" spans="1:1" x14ac:dyDescent="0.25">
      <c r="A38" s="349"/>
    </row>
    <row r="40" spans="1:1" s="386" customFormat="1" ht="254.25" customHeight="1" x14ac:dyDescent="0.25">
      <c r="A40" s="387"/>
    </row>
  </sheetData>
  <sheetProtection algorithmName="SHA-512" hashValue="sPPJ5aQPL7Uf75boEyJFCCnrullvdnsXGcQMgg3cybd4vsgas8N55Y/HdT2RuO7rrWIpAbT3uJfhdOSFGSGB8Q==" saltValue="CeffXBMOv02unVlyd8XS4Q==" spinCount="100000" sheet="1" objects="1" scenarios="1"/>
  <dataValidations count="1">
    <dataValidation allowBlank="1" showInputMessage="1" showErrorMessage="1" promptTitle="Applikationen" sqref="A1:A5" xr:uid="{00000000-0002-0000-1100-000000000000}"/>
  </dataValidation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autoPageBreaks="0"/>
  </sheetPr>
  <dimension ref="A1:Y81"/>
  <sheetViews>
    <sheetView showGridLines="0" showRowColHeaders="0" showZeros="0" zoomScaleNormal="100" workbookViewId="0">
      <selection activeCell="A4" sqref="A4:D4"/>
    </sheetView>
  </sheetViews>
  <sheetFormatPr baseColWidth="10" defaultColWidth="9.140625" defaultRowHeight="15" customHeight="1" x14ac:dyDescent="0.2"/>
  <cols>
    <col min="1" max="1" width="40" style="231" customWidth="1"/>
    <col min="2" max="2" width="45.140625" style="231" customWidth="1"/>
    <col min="3" max="3" width="31" style="231" customWidth="1"/>
    <col min="4" max="4" width="35.28515625" style="231" customWidth="1"/>
    <col min="5" max="5" width="4.5703125" style="231" customWidth="1"/>
    <col min="6" max="6" width="13.140625" style="231" customWidth="1"/>
    <col min="7" max="8" width="9.140625" style="231"/>
    <col min="9" max="12" width="9.140625" style="532"/>
    <col min="13" max="16384" width="9.140625" style="231"/>
  </cols>
  <sheetData>
    <row r="1" spans="1:22" ht="17.25" customHeight="1" x14ac:dyDescent="0.2">
      <c r="A1" s="230"/>
      <c r="B1" s="230"/>
      <c r="C1" s="428"/>
    </row>
    <row r="2" spans="1:22" ht="17.25" customHeight="1" x14ac:dyDescent="0.2">
      <c r="A2" s="230"/>
      <c r="B2" s="230"/>
      <c r="C2" s="429" t="str">
        <f>IF($D$63&gt;3,"STOP!",IF($D$63&lt;1,"STOP!",IF($D$60=0,"STOP!",IF(I7=10,"CAUTION",IF(C29&gt;0,"Check again","")))))</f>
        <v>STOP!</v>
      </c>
      <c r="E2" s="802" t="str">
        <f>IF($C$2="STOP!","","OK, next step")</f>
        <v/>
      </c>
    </row>
    <row r="3" spans="1:22" ht="15" customHeight="1" x14ac:dyDescent="0.2">
      <c r="A3" s="230"/>
      <c r="B3" s="230"/>
      <c r="C3" s="233" t="str">
        <f>IF($C$2="STOP!","Entries at the sheet are still missing or incorrect",IF(C2="CAUTION","Information on the order bases are incomplete, the missing data are desired ",IF(C2="Check again","The address of the contractor is currently also billing address - is that ok?","")))</f>
        <v>Entries at the sheet are still missing or incorrect</v>
      </c>
    </row>
    <row r="4" spans="1:22" ht="28.5" customHeight="1" x14ac:dyDescent="0.2">
      <c r="A4" s="992" t="s">
        <v>1043</v>
      </c>
      <c r="B4" s="992"/>
      <c r="C4" s="992"/>
      <c r="D4" s="993"/>
      <c r="F4" s="707"/>
      <c r="G4" s="707"/>
      <c r="H4" s="707"/>
      <c r="I4" s="707"/>
      <c r="J4" s="707"/>
      <c r="K4" s="707"/>
      <c r="L4" s="707"/>
      <c r="M4" s="707"/>
      <c r="N4" s="707"/>
      <c r="O4" s="707"/>
    </row>
    <row r="5" spans="1:22" ht="18" customHeight="1" x14ac:dyDescent="0.2">
      <c r="A5" s="990" t="s">
        <v>1041</v>
      </c>
      <c r="B5" s="991"/>
      <c r="C5" s="800"/>
      <c r="F5" s="707"/>
      <c r="G5" s="707"/>
      <c r="H5" s="707"/>
      <c r="I5" s="707"/>
      <c r="J5" s="707"/>
      <c r="K5" s="707"/>
      <c r="L5" s="707"/>
      <c r="M5" s="707"/>
      <c r="N5" s="707"/>
      <c r="O5" s="707"/>
    </row>
    <row r="6" spans="1:22" s="352" customFormat="1" ht="6" customHeight="1" x14ac:dyDescent="0.2">
      <c r="A6" s="777"/>
      <c r="B6" s="777"/>
      <c r="C6" s="778"/>
      <c r="F6" s="779"/>
      <c r="G6" s="779"/>
      <c r="H6" s="779"/>
      <c r="I6" s="779"/>
      <c r="J6" s="779"/>
      <c r="K6" s="779"/>
      <c r="L6" s="779"/>
      <c r="M6" s="779"/>
      <c r="N6" s="779"/>
      <c r="O6" s="779"/>
    </row>
    <row r="7" spans="1:22" s="352" customFormat="1" ht="31.5" customHeight="1" x14ac:dyDescent="0.2">
      <c r="A7" s="780" t="s">
        <v>1135</v>
      </c>
      <c r="B7" s="809"/>
      <c r="C7" s="780" t="s">
        <v>1044</v>
      </c>
      <c r="D7" s="809"/>
      <c r="E7" s="817"/>
      <c r="F7" s="533" t="str">
        <f>IF(z_neuanbindung="x","set-up new network access",IF(z_bestandsänderung="x","Modification of currently valid network connection",""))</f>
        <v/>
      </c>
      <c r="G7" s="240">
        <f>IF(z_bestandsänderung="x",1,0)</f>
        <v>0</v>
      </c>
      <c r="H7" s="240"/>
      <c r="I7" s="240">
        <f>IF(B7="x",1,IF(D7="x",2,0))</f>
        <v>0</v>
      </c>
      <c r="J7" s="240"/>
      <c r="K7" s="240"/>
      <c r="L7" s="240"/>
      <c r="M7" s="240"/>
      <c r="N7" s="240"/>
      <c r="O7" s="240"/>
      <c r="P7" s="240"/>
      <c r="Q7" s="240"/>
      <c r="R7" s="240"/>
      <c r="S7" s="240"/>
      <c r="T7" s="240"/>
      <c r="U7" s="240"/>
      <c r="V7" s="240"/>
    </row>
    <row r="8" spans="1:22" s="352" customFormat="1" ht="7.5" customHeight="1" x14ac:dyDescent="0.2">
      <c r="A8" s="780"/>
      <c r="B8" s="777"/>
      <c r="C8" s="780"/>
      <c r="E8" s="817"/>
      <c r="F8" s="533"/>
      <c r="G8" s="240"/>
      <c r="H8" s="240"/>
      <c r="I8" s="240"/>
      <c r="J8" s="240"/>
      <c r="K8" s="240"/>
      <c r="L8" s="240"/>
      <c r="M8" s="240"/>
      <c r="N8" s="240"/>
      <c r="O8" s="240"/>
      <c r="P8" s="240"/>
      <c r="Q8" s="240"/>
      <c r="R8" s="240"/>
      <c r="S8" s="240"/>
      <c r="T8" s="240"/>
      <c r="U8" s="240"/>
      <c r="V8" s="240"/>
    </row>
    <row r="9" spans="1:22" s="352" customFormat="1" ht="7.5" customHeight="1" x14ac:dyDescent="0.2">
      <c r="A9" s="777"/>
      <c r="B9" s="777"/>
      <c r="C9" s="778"/>
      <c r="E9" s="817"/>
      <c r="F9" s="240"/>
      <c r="G9" s="240"/>
      <c r="H9" s="240"/>
      <c r="I9" s="240"/>
      <c r="J9" s="240"/>
      <c r="K9" s="240"/>
      <c r="L9" s="240"/>
      <c r="M9" s="240"/>
      <c r="N9" s="240"/>
      <c r="O9" s="240"/>
      <c r="P9" s="240"/>
      <c r="Q9" s="240"/>
      <c r="R9" s="240"/>
      <c r="S9" s="240"/>
      <c r="T9" s="240"/>
      <c r="U9" s="240"/>
      <c r="V9" s="240"/>
    </row>
    <row r="10" spans="1:22" s="352" customFormat="1" ht="43.5" customHeight="1" x14ac:dyDescent="0.2">
      <c r="A10" s="801" t="s">
        <v>1042</v>
      </c>
      <c r="B10" s="898"/>
      <c r="C10" s="482" t="str">
        <f>IF(B10="","entry mandatory","")</f>
        <v>entry mandatory</v>
      </c>
      <c r="E10" s="817"/>
      <c r="F10" s="817"/>
      <c r="G10" s="817"/>
      <c r="H10" s="817"/>
      <c r="I10" s="240">
        <f>IF(ISBLANK(B10),0,1)</f>
        <v>0</v>
      </c>
      <c r="J10" s="240"/>
      <c r="K10" s="240"/>
      <c r="L10" s="240"/>
      <c r="M10" s="240"/>
      <c r="N10" s="240"/>
      <c r="O10" s="240"/>
      <c r="P10" s="240"/>
      <c r="Q10" s="240"/>
      <c r="R10" s="240"/>
      <c r="S10" s="240"/>
      <c r="T10" s="240"/>
      <c r="U10" s="240"/>
      <c r="V10" s="240"/>
    </row>
    <row r="11" spans="1:22" ht="8.25" customHeight="1" x14ac:dyDescent="0.2">
      <c r="A11" s="810"/>
      <c r="B11" s="811"/>
      <c r="C11" s="812"/>
      <c r="D11" s="813"/>
      <c r="E11" s="813"/>
      <c r="F11" s="813"/>
      <c r="G11" s="814"/>
      <c r="H11" s="814"/>
      <c r="I11" s="536"/>
      <c r="J11" s="536"/>
      <c r="M11" s="532"/>
      <c r="N11" s="532"/>
      <c r="O11" s="532"/>
      <c r="P11" s="532"/>
      <c r="Q11" s="532"/>
      <c r="R11" s="532"/>
      <c r="S11" s="532"/>
      <c r="T11" s="532"/>
      <c r="U11" s="532"/>
      <c r="V11" s="532"/>
    </row>
    <row r="12" spans="1:22" ht="8.25" customHeight="1" x14ac:dyDescent="0.2">
      <c r="A12" s="810"/>
      <c r="B12" s="811"/>
      <c r="C12" s="812"/>
      <c r="D12" s="813"/>
      <c r="E12" s="813"/>
      <c r="F12" s="813"/>
      <c r="G12" s="814"/>
      <c r="H12" s="814"/>
      <c r="I12" s="536"/>
      <c r="J12" s="536"/>
      <c r="M12" s="532"/>
      <c r="N12" s="532"/>
      <c r="O12" s="532"/>
      <c r="P12" s="532"/>
      <c r="Q12" s="532"/>
      <c r="R12" s="532"/>
      <c r="S12" s="532"/>
      <c r="T12" s="532"/>
      <c r="U12" s="532"/>
      <c r="V12" s="532"/>
    </row>
    <row r="13" spans="1:22" ht="53.25" customHeight="1" x14ac:dyDescent="0.2">
      <c r="A13" s="815" t="s">
        <v>1075</v>
      </c>
      <c r="B13" s="816"/>
      <c r="C13" s="483" t="str">
        <f>IF(B13="","entry mandatory","")</f>
        <v>entry mandatory</v>
      </c>
      <c r="D13" s="813"/>
      <c r="E13" s="813"/>
      <c r="F13" s="813"/>
      <c r="G13" s="814"/>
      <c r="H13" s="814"/>
      <c r="I13" s="536">
        <f>IF(ISBLANK(B13),0,1)</f>
        <v>0</v>
      </c>
      <c r="J13" s="536"/>
      <c r="M13" s="532"/>
      <c r="N13" s="532"/>
      <c r="O13" s="532"/>
      <c r="P13" s="532"/>
      <c r="Q13" s="532"/>
      <c r="R13" s="532"/>
      <c r="S13" s="532"/>
      <c r="T13" s="532"/>
      <c r="U13" s="532"/>
      <c r="V13" s="532"/>
    </row>
    <row r="14" spans="1:22" s="352" customFormat="1" ht="6" customHeight="1" x14ac:dyDescent="0.2">
      <c r="A14" s="777"/>
      <c r="B14" s="777"/>
      <c r="C14" s="778"/>
      <c r="E14" s="817"/>
      <c r="F14" s="817"/>
      <c r="G14" s="817"/>
      <c r="H14" s="817"/>
      <c r="I14" s="817"/>
      <c r="J14" s="240"/>
      <c r="K14" s="240"/>
      <c r="L14" s="240"/>
      <c r="M14" s="240"/>
      <c r="N14" s="240"/>
      <c r="O14" s="240"/>
      <c r="P14" s="240"/>
      <c r="Q14" s="240"/>
      <c r="R14" s="240"/>
      <c r="S14" s="240"/>
      <c r="T14" s="240"/>
      <c r="U14" s="240"/>
      <c r="V14" s="240"/>
    </row>
    <row r="15" spans="1:22" ht="16.5" customHeight="1" x14ac:dyDescent="0.2">
      <c r="A15" s="990" t="s">
        <v>802</v>
      </c>
      <c r="B15" s="991"/>
      <c r="C15" s="956" t="str">
        <f>IF((I16+I17+I18+I19+I20+I21+I24+I25+I26+I36+I27+I7+I10+I13)&lt;14,"STOP! Table incomplete","Table complete")</f>
        <v>STOP! Table incomplete</v>
      </c>
      <c r="D15" s="430"/>
      <c r="E15" s="814"/>
      <c r="F15" s="814"/>
      <c r="G15" s="814"/>
      <c r="H15" s="818"/>
      <c r="I15" s="957"/>
      <c r="J15" s="899"/>
      <c r="K15" s="899"/>
      <c r="L15" s="899"/>
      <c r="M15" s="899"/>
      <c r="N15" s="235"/>
      <c r="O15" s="235"/>
      <c r="P15" s="235"/>
      <c r="Q15" s="532"/>
      <c r="R15" s="532"/>
      <c r="S15" s="532"/>
      <c r="T15" s="532"/>
      <c r="U15" s="532"/>
      <c r="V15" s="532"/>
    </row>
    <row r="16" spans="1:22" ht="15" customHeight="1" x14ac:dyDescent="0.2">
      <c r="A16" s="431" t="s">
        <v>803</v>
      </c>
      <c r="B16" s="392"/>
      <c r="C16" s="482" t="str">
        <f t="shared" ref="C16:C21" si="0">IF(B16="","entry mandatory","")</f>
        <v>entry mandatory</v>
      </c>
      <c r="D16" s="432"/>
      <c r="E16" s="814"/>
      <c r="F16" s="817"/>
      <c r="G16" s="817"/>
      <c r="H16" s="814"/>
      <c r="I16" s="536">
        <f t="shared" ref="I16:I21" si="1">IF(ISBLANK(B16),0,1)</f>
        <v>0</v>
      </c>
      <c r="J16" s="536"/>
      <c r="K16" s="536"/>
      <c r="L16" s="536"/>
      <c r="M16" s="536"/>
      <c r="N16" s="532"/>
      <c r="O16" s="532"/>
      <c r="P16" s="532"/>
      <c r="Q16" s="532"/>
      <c r="R16" s="532"/>
      <c r="S16" s="532"/>
      <c r="T16" s="532"/>
      <c r="U16" s="532"/>
      <c r="V16" s="532"/>
    </row>
    <row r="17" spans="1:22" ht="15" customHeight="1" x14ac:dyDescent="0.2">
      <c r="A17" s="433" t="s">
        <v>804</v>
      </c>
      <c r="B17" s="393"/>
      <c r="C17" s="482" t="str">
        <f t="shared" si="0"/>
        <v>entry mandatory</v>
      </c>
      <c r="D17" s="432"/>
      <c r="E17" s="817"/>
      <c r="F17" s="817"/>
      <c r="G17" s="817"/>
      <c r="H17" s="814"/>
      <c r="I17" s="536">
        <f t="shared" si="1"/>
        <v>0</v>
      </c>
      <c r="J17" s="536"/>
      <c r="K17" s="536"/>
      <c r="L17" s="536"/>
      <c r="M17" s="536"/>
      <c r="N17" s="532"/>
      <c r="O17" s="532"/>
      <c r="P17" s="532"/>
      <c r="Q17" s="532"/>
      <c r="R17" s="532"/>
      <c r="S17" s="532"/>
      <c r="T17" s="532"/>
      <c r="U17" s="532"/>
      <c r="V17" s="532"/>
    </row>
    <row r="18" spans="1:22" ht="15" customHeight="1" x14ac:dyDescent="0.2">
      <c r="A18" s="433" t="s">
        <v>805</v>
      </c>
      <c r="B18" s="394"/>
      <c r="C18" s="482" t="str">
        <f t="shared" si="0"/>
        <v>entry mandatory</v>
      </c>
      <c r="D18" s="432"/>
      <c r="E18" s="814"/>
      <c r="F18" s="814"/>
      <c r="G18" s="814"/>
      <c r="H18" s="814"/>
      <c r="I18" s="536">
        <f t="shared" si="1"/>
        <v>0</v>
      </c>
      <c r="J18" s="536"/>
      <c r="K18" s="536"/>
      <c r="L18" s="536"/>
      <c r="M18" s="536"/>
      <c r="N18" s="532"/>
      <c r="O18" s="532"/>
      <c r="P18" s="532"/>
      <c r="Q18" s="532"/>
      <c r="R18" s="532"/>
      <c r="S18" s="532"/>
      <c r="T18" s="532"/>
      <c r="U18" s="532"/>
      <c r="V18" s="532"/>
    </row>
    <row r="19" spans="1:22" ht="15" customHeight="1" x14ac:dyDescent="0.2">
      <c r="A19" s="433" t="s">
        <v>806</v>
      </c>
      <c r="B19" s="393"/>
      <c r="C19" s="482" t="str">
        <f t="shared" si="0"/>
        <v>entry mandatory</v>
      </c>
      <c r="D19" s="432"/>
      <c r="E19" s="814"/>
      <c r="F19" s="814"/>
      <c r="G19" s="814"/>
      <c r="H19" s="814"/>
      <c r="I19" s="536">
        <f t="shared" si="1"/>
        <v>0</v>
      </c>
      <c r="J19" s="536"/>
      <c r="K19" s="536"/>
      <c r="L19" s="536"/>
      <c r="M19" s="536"/>
      <c r="N19" s="532"/>
      <c r="O19" s="532"/>
      <c r="P19" s="532"/>
      <c r="Q19" s="532"/>
      <c r="R19" s="532"/>
      <c r="S19" s="532"/>
      <c r="T19" s="532"/>
      <c r="U19" s="532"/>
      <c r="V19" s="532"/>
    </row>
    <row r="20" spans="1:22" ht="15" customHeight="1" x14ac:dyDescent="0.2">
      <c r="A20" s="433" t="s">
        <v>807</v>
      </c>
      <c r="B20" s="393"/>
      <c r="C20" s="482" t="str">
        <f t="shared" si="0"/>
        <v>entry mandatory</v>
      </c>
      <c r="D20" s="432"/>
      <c r="E20" s="814"/>
      <c r="F20" s="814"/>
      <c r="G20" s="814"/>
      <c r="H20" s="814"/>
      <c r="I20" s="536">
        <f t="shared" si="1"/>
        <v>0</v>
      </c>
      <c r="J20" s="536"/>
      <c r="K20" s="536"/>
      <c r="L20" s="536"/>
      <c r="M20" s="536"/>
      <c r="N20" s="532"/>
      <c r="O20" s="532"/>
      <c r="P20" s="532"/>
      <c r="Q20" s="532"/>
      <c r="R20" s="532"/>
      <c r="S20" s="532"/>
      <c r="T20" s="532"/>
      <c r="U20" s="532"/>
      <c r="V20" s="532"/>
    </row>
    <row r="21" spans="1:22" ht="15" customHeight="1" x14ac:dyDescent="0.2">
      <c r="A21" s="433" t="s">
        <v>808</v>
      </c>
      <c r="B21" s="723"/>
      <c r="C21" s="482" t="str">
        <f t="shared" si="0"/>
        <v>entry mandatory</v>
      </c>
      <c r="D21" s="432"/>
      <c r="E21" s="814"/>
      <c r="F21" s="814"/>
      <c r="G21" s="814"/>
      <c r="H21" s="814"/>
      <c r="I21" s="536">
        <f t="shared" si="1"/>
        <v>0</v>
      </c>
      <c r="J21" s="536"/>
      <c r="K21" s="536"/>
      <c r="L21" s="536"/>
      <c r="M21" s="536"/>
      <c r="N21" s="532"/>
      <c r="O21" s="532"/>
      <c r="P21" s="532"/>
      <c r="Q21" s="532"/>
      <c r="R21" s="532"/>
      <c r="S21" s="532"/>
      <c r="T21" s="532"/>
      <c r="U21" s="532"/>
      <c r="V21" s="532"/>
    </row>
    <row r="22" spans="1:22" ht="14.25" x14ac:dyDescent="0.2">
      <c r="A22" s="433" t="s">
        <v>809</v>
      </c>
      <c r="B22" s="393"/>
      <c r="C22" s="434"/>
      <c r="D22" s="432"/>
      <c r="E22" s="814"/>
      <c r="F22" s="814"/>
      <c r="G22" s="814"/>
      <c r="H22" s="814"/>
      <c r="I22" s="536"/>
      <c r="J22" s="536"/>
      <c r="K22" s="536"/>
      <c r="L22" s="536"/>
      <c r="M22" s="536"/>
      <c r="N22" s="532"/>
      <c r="O22" s="532"/>
      <c r="P22" s="532"/>
      <c r="Q22" s="532"/>
      <c r="R22" s="532"/>
      <c r="S22" s="532"/>
      <c r="T22" s="532"/>
      <c r="U22" s="532"/>
      <c r="V22" s="532"/>
    </row>
    <row r="23" spans="1:22" ht="14.25" x14ac:dyDescent="0.2">
      <c r="A23" s="433" t="s">
        <v>809</v>
      </c>
      <c r="B23" s="393"/>
      <c r="C23" s="434"/>
      <c r="D23" s="432"/>
      <c r="E23" s="814"/>
      <c r="F23" s="814"/>
      <c r="G23" s="814"/>
      <c r="H23" s="814"/>
      <c r="I23" s="536"/>
      <c r="J23" s="536"/>
      <c r="K23" s="536"/>
      <c r="L23" s="536"/>
      <c r="M23" s="536"/>
      <c r="N23" s="532"/>
      <c r="O23" s="532"/>
      <c r="P23" s="532"/>
      <c r="Q23" s="532"/>
      <c r="R23" s="532"/>
      <c r="S23" s="532"/>
      <c r="T23" s="532"/>
      <c r="U23" s="532"/>
      <c r="V23" s="532"/>
    </row>
    <row r="24" spans="1:22" ht="15" customHeight="1" x14ac:dyDescent="0.2">
      <c r="A24" s="433" t="s">
        <v>810</v>
      </c>
      <c r="B24" s="394"/>
      <c r="C24" s="482" t="str">
        <f>IF(B24="",IF(ISERROR(VLOOKUP(B20,Tabelle1!D2:D29,1,)),"","entry mandatory for countries of the European Union"),"")</f>
        <v/>
      </c>
      <c r="D24" s="432"/>
      <c r="E24" s="814"/>
      <c r="F24" s="532">
        <f>IF(B24="",IF(ISERROR(VLOOKUP(B20,Tabelle1!D2:D29,1,)),0,1),0)</f>
        <v>0</v>
      </c>
      <c r="G24" s="814"/>
      <c r="H24" s="814"/>
      <c r="I24" s="536">
        <f>IF(C24="",1,IF(ISBLANK(B24),0,1))</f>
        <v>1</v>
      </c>
      <c r="J24" s="536"/>
      <c r="K24" s="536"/>
      <c r="L24" s="536"/>
      <c r="M24" s="536"/>
      <c r="N24" s="532"/>
      <c r="O24" s="532"/>
      <c r="P24" s="532"/>
      <c r="Q24" s="532"/>
      <c r="R24" s="532"/>
      <c r="S24" s="532"/>
      <c r="T24" s="532"/>
      <c r="U24" s="532"/>
      <c r="V24" s="532"/>
    </row>
    <row r="25" spans="1:22" ht="30" customHeight="1" x14ac:dyDescent="0.2">
      <c r="A25" s="435" t="s">
        <v>811</v>
      </c>
      <c r="B25" s="393"/>
      <c r="C25" s="483" t="str">
        <f>IF(B25="","entry mandatory",IF(O26=10,"select yes/no - further details at row 29"," "))</f>
        <v>entry mandatory</v>
      </c>
      <c r="D25" s="436" t="str">
        <f>IF(B25&lt;&gt;"",IF(B25="yes","! Goto row 40",""),"")</f>
        <v/>
      </c>
      <c r="E25" s="814"/>
      <c r="F25" s="814"/>
      <c r="G25" s="814"/>
      <c r="H25" s="814"/>
      <c r="I25" s="536">
        <f>IF(ISBLANK(B25),0,IF(O26=10,0,1))</f>
        <v>0</v>
      </c>
      <c r="J25" s="536"/>
      <c r="K25" s="536"/>
      <c r="L25" s="536"/>
      <c r="M25" s="536"/>
      <c r="N25" s="532"/>
      <c r="O25" s="532"/>
      <c r="P25" s="532"/>
      <c r="Q25" s="532"/>
      <c r="R25" s="532"/>
      <c r="S25" s="532"/>
      <c r="T25" s="532"/>
      <c r="U25" s="532"/>
      <c r="V25" s="532"/>
    </row>
    <row r="26" spans="1:22" s="250" customFormat="1" ht="25.5" customHeight="1" x14ac:dyDescent="0.2">
      <c r="A26" s="685" t="s">
        <v>968</v>
      </c>
      <c r="B26" s="393"/>
      <c r="C26" s="483" t="str">
        <f>IF(B26="","entry mandatory",IF(O28=10,"select yes/no - further details at row 37"," "))</f>
        <v>entry mandatory</v>
      </c>
      <c r="D26" s="436" t="str">
        <f>IF(B26&lt;&gt;"",IF(B26="yes","! Goto row 48",""),"")</f>
        <v/>
      </c>
      <c r="E26" s="819"/>
      <c r="F26" s="819"/>
      <c r="G26" s="819"/>
      <c r="H26" s="819"/>
      <c r="I26" s="536">
        <f>IF(ISBLANK(B26),0,IF(O28=10,0,1))</f>
        <v>0</v>
      </c>
      <c r="J26" s="514">
        <f>SUM(I25:I26)</f>
        <v>0</v>
      </c>
      <c r="K26" s="514"/>
      <c r="L26" s="900" t="s">
        <v>991</v>
      </c>
      <c r="M26" s="249"/>
      <c r="N26" s="249"/>
      <c r="O26" s="249">
        <f>IF(B25="",0,IF(B25="yes",1,IF(B25="no",1,10)))</f>
        <v>0</v>
      </c>
      <c r="P26" s="249"/>
      <c r="Q26" s="249"/>
      <c r="R26" s="249"/>
      <c r="S26" s="249"/>
      <c r="T26" s="249"/>
      <c r="U26" s="249"/>
      <c r="V26" s="249"/>
    </row>
    <row r="27" spans="1:22" s="250" customFormat="1" ht="18" customHeight="1" x14ac:dyDescent="0.2">
      <c r="A27" s="729" t="s">
        <v>1004</v>
      </c>
      <c r="B27" s="728"/>
      <c r="C27" s="483" t="str">
        <f>IF(B27&lt;&gt;"","",IF(B26="yes","entry mandatory"," "))</f>
        <v xml:space="preserve"> </v>
      </c>
      <c r="D27" s="436"/>
      <c r="E27" s="819"/>
      <c r="F27" s="819"/>
      <c r="G27" s="819"/>
      <c r="H27" s="819"/>
      <c r="I27" s="536">
        <f>IF(B26="yes",IF(ISBLANK(B27),0,1),1)</f>
        <v>1</v>
      </c>
      <c r="J27" s="514">
        <f>SUM(I16:I26)</f>
        <v>1</v>
      </c>
      <c r="K27" s="514"/>
      <c r="L27" s="900" t="s">
        <v>991</v>
      </c>
      <c r="M27" s="249"/>
      <c r="N27" s="249"/>
      <c r="O27" s="249">
        <f>IF(B26="",0,IF(B26="yes",1,IF(B26="no",1,10)))</f>
        <v>0</v>
      </c>
      <c r="P27" s="249"/>
      <c r="Q27" s="249"/>
      <c r="R27" s="249"/>
      <c r="S27" s="249"/>
      <c r="T27" s="249"/>
      <c r="U27" s="249"/>
      <c r="V27" s="249"/>
    </row>
    <row r="28" spans="1:22" ht="12" customHeight="1" x14ac:dyDescent="0.2">
      <c r="A28" s="251"/>
      <c r="B28" s="251"/>
      <c r="C28" s="532">
        <f>J28</f>
        <v>0</v>
      </c>
      <c r="E28" s="814"/>
      <c r="F28" s="814"/>
      <c r="G28" s="814"/>
      <c r="H28" s="814"/>
      <c r="I28" s="514"/>
      <c r="J28" s="536"/>
      <c r="K28" s="536"/>
      <c r="L28" s="900"/>
      <c r="M28" s="536"/>
      <c r="N28" s="532"/>
      <c r="O28" s="249"/>
      <c r="P28" s="532"/>
      <c r="Q28" s="532"/>
      <c r="R28" s="532"/>
      <c r="S28" s="532"/>
      <c r="T28" s="532"/>
      <c r="U28" s="532"/>
      <c r="V28" s="532"/>
    </row>
    <row r="29" spans="1:22" ht="28.9" customHeight="1" x14ac:dyDescent="0.2">
      <c r="A29" s="997" t="s">
        <v>1003</v>
      </c>
      <c r="B29" s="991"/>
      <c r="C29" s="803">
        <f>COUNTBLANK(B30:B34)</f>
        <v>5</v>
      </c>
      <c r="D29" s="437"/>
      <c r="E29" s="818"/>
      <c r="F29" s="818"/>
      <c r="G29" s="818"/>
      <c r="H29" s="818"/>
      <c r="I29" s="899"/>
      <c r="J29" s="899"/>
      <c r="K29" s="899"/>
      <c r="L29" s="536"/>
      <c r="M29" s="899"/>
      <c r="N29" s="235"/>
      <c r="O29" s="235"/>
      <c r="P29" s="532"/>
      <c r="Q29" s="532"/>
      <c r="R29" s="532"/>
      <c r="S29" s="532"/>
      <c r="T29" s="532"/>
      <c r="U29" s="532"/>
      <c r="V29" s="532"/>
    </row>
    <row r="30" spans="1:22" ht="15" customHeight="1" x14ac:dyDescent="0.2">
      <c r="A30" s="431" t="s">
        <v>803</v>
      </c>
      <c r="B30" s="392"/>
      <c r="C30" s="438"/>
      <c r="D30" s="439"/>
      <c r="E30" s="814"/>
      <c r="F30" s="814"/>
      <c r="G30" s="814"/>
      <c r="H30" s="814"/>
      <c r="I30" s="536"/>
      <c r="J30" s="536"/>
      <c r="K30" s="536"/>
      <c r="L30" s="536"/>
      <c r="M30" s="536"/>
      <c r="N30" s="532"/>
      <c r="O30" s="532"/>
      <c r="P30" s="532"/>
      <c r="Q30" s="532"/>
      <c r="R30" s="532"/>
      <c r="S30" s="532"/>
      <c r="T30" s="532"/>
      <c r="U30" s="532"/>
      <c r="V30" s="532"/>
    </row>
    <row r="31" spans="1:22" ht="15" customHeight="1" x14ac:dyDescent="0.2">
      <c r="A31" s="433" t="s">
        <v>804</v>
      </c>
      <c r="B31" s="393"/>
      <c r="C31" s="438"/>
      <c r="D31" s="439"/>
      <c r="E31" s="814"/>
      <c r="F31" s="814"/>
      <c r="G31" s="814"/>
      <c r="H31" s="814"/>
      <c r="I31" s="536"/>
      <c r="J31" s="536"/>
      <c r="K31" s="536"/>
      <c r="L31" s="536"/>
      <c r="M31" s="536"/>
      <c r="N31" s="532"/>
      <c r="O31" s="532"/>
      <c r="P31" s="532"/>
      <c r="Q31" s="532"/>
      <c r="R31" s="532"/>
      <c r="S31" s="532"/>
      <c r="T31" s="532"/>
      <c r="U31" s="532"/>
      <c r="V31" s="532"/>
    </row>
    <row r="32" spans="1:22" ht="15" customHeight="1" x14ac:dyDescent="0.2">
      <c r="A32" s="433" t="s">
        <v>805</v>
      </c>
      <c r="B32" s="394"/>
      <c r="C32" s="438"/>
      <c r="D32" s="439"/>
      <c r="E32" s="814"/>
      <c r="F32" s="814"/>
      <c r="G32" s="814"/>
      <c r="H32" s="814"/>
      <c r="I32" s="536"/>
      <c r="J32" s="536"/>
      <c r="K32" s="536"/>
      <c r="L32" s="536"/>
      <c r="M32" s="536"/>
      <c r="N32" s="532"/>
      <c r="O32" s="532"/>
      <c r="P32" s="532"/>
      <c r="Q32" s="532"/>
      <c r="R32" s="532"/>
      <c r="S32" s="532"/>
      <c r="T32" s="532"/>
      <c r="U32" s="532"/>
      <c r="V32" s="532"/>
    </row>
    <row r="33" spans="1:22" ht="15" customHeight="1" x14ac:dyDescent="0.2">
      <c r="A33" s="433" t="s">
        <v>806</v>
      </c>
      <c r="B33" s="393"/>
      <c r="C33" s="438"/>
      <c r="D33" s="439"/>
      <c r="E33" s="814"/>
      <c r="F33" s="814"/>
      <c r="G33" s="814"/>
      <c r="H33" s="814"/>
      <c r="I33" s="536"/>
      <c r="J33" s="536"/>
      <c r="K33" s="536"/>
      <c r="L33" s="536"/>
      <c r="M33" s="536"/>
      <c r="N33" s="532"/>
      <c r="O33" s="532"/>
      <c r="P33" s="532"/>
      <c r="Q33" s="532"/>
      <c r="R33" s="532"/>
      <c r="S33" s="532"/>
      <c r="T33" s="532"/>
      <c r="U33" s="532"/>
      <c r="V33" s="532"/>
    </row>
    <row r="34" spans="1:22" ht="15" customHeight="1" x14ac:dyDescent="0.2">
      <c r="A34" s="433" t="s">
        <v>807</v>
      </c>
      <c r="B34" s="393"/>
      <c r="C34" s="438"/>
      <c r="D34" s="439"/>
      <c r="E34" s="814"/>
      <c r="F34" s="814"/>
      <c r="G34" s="814"/>
      <c r="H34" s="814"/>
      <c r="I34" s="240"/>
      <c r="M34" s="532"/>
      <c r="N34" s="532"/>
      <c r="O34" s="532"/>
      <c r="P34" s="532"/>
      <c r="Q34" s="532"/>
      <c r="R34" s="532"/>
      <c r="S34" s="532"/>
      <c r="T34" s="532"/>
      <c r="U34" s="532"/>
      <c r="V34" s="532"/>
    </row>
    <row r="35" spans="1:22" ht="22.5" customHeight="1" x14ac:dyDescent="0.2">
      <c r="A35" s="708" t="s">
        <v>1077</v>
      </c>
      <c r="B35" s="393"/>
      <c r="C35" s="709" t="str">
        <f>IF(B35="",IF(B36="","information about e-invoicing services are mandatory  (e-mail address or rejection)"," "),"")</f>
        <v>information about e-invoicing services are mandatory  (e-mail address or rejection)</v>
      </c>
      <c r="D35" s="256">
        <f>IF(B36="",0,1)</f>
        <v>0</v>
      </c>
      <c r="E35" s="814"/>
      <c r="F35" s="814"/>
      <c r="G35" s="814"/>
      <c r="H35" s="814"/>
      <c r="I35" s="240"/>
      <c r="M35" s="532"/>
      <c r="N35" s="532"/>
      <c r="O35" s="532"/>
      <c r="P35" s="532"/>
      <c r="Q35" s="532"/>
      <c r="R35" s="532"/>
      <c r="S35" s="532"/>
      <c r="T35" s="532"/>
      <c r="U35" s="532"/>
      <c r="V35" s="532"/>
    </row>
    <row r="36" spans="1:22" ht="33" customHeight="1" x14ac:dyDescent="0.2">
      <c r="A36" s="739" t="s">
        <v>992</v>
      </c>
      <c r="B36" s="768"/>
      <c r="C36" s="710" t="str">
        <f>IF(B36&lt;&gt;"",IF(B35="x","only fill in when participating in electronic invoice service -  row 35 shows a different statement",IF(Tabelle1!H13="gültig","Important: hardcopy form will be eliminated completely","e-mail address incorrect")),"")</f>
        <v/>
      </c>
      <c r="D36" s="532" t="str">
        <f>IF(B35&lt;&gt;"",IF(B36&lt;&gt;"",100,""),"")</f>
        <v/>
      </c>
      <c r="E36" s="814"/>
      <c r="F36" s="814"/>
      <c r="G36" s="814"/>
      <c r="H36" s="814"/>
      <c r="I36" s="240">
        <f>IF(C36="e-mail address incorrect",0,IF(C35="information about e-invoicing services are mandatory  (e-mail address or rejection)",0,IF(C36="only fill in when participating in electronic invoice service -  row 35 shows a different statement",0,IF(COUNTBLANK(B30:B36)&gt;1,0,1))))</f>
        <v>0</v>
      </c>
      <c r="M36" s="532"/>
      <c r="N36" s="532"/>
      <c r="O36" s="532"/>
      <c r="P36" s="532"/>
      <c r="Q36" s="532"/>
      <c r="R36" s="532"/>
      <c r="S36" s="532"/>
      <c r="T36" s="532"/>
      <c r="U36" s="532"/>
      <c r="V36" s="532"/>
    </row>
    <row r="37" spans="1:22" ht="12" customHeight="1" x14ac:dyDescent="0.2">
      <c r="A37" s="440" t="s">
        <v>812</v>
      </c>
      <c r="B37" s="259"/>
      <c r="E37" s="814"/>
      <c r="F37" s="814"/>
      <c r="G37" s="814"/>
      <c r="H37" s="814"/>
      <c r="M37" s="532"/>
      <c r="N37" s="532"/>
      <c r="O37" s="532"/>
      <c r="P37" s="532"/>
      <c r="Q37" s="532"/>
      <c r="R37" s="532"/>
      <c r="S37" s="532"/>
      <c r="T37" s="532"/>
      <c r="U37" s="532"/>
      <c r="V37" s="532"/>
    </row>
    <row r="38" spans="1:22" ht="3" customHeight="1" x14ac:dyDescent="0.2">
      <c r="A38" s="31"/>
      <c r="B38" s="31"/>
      <c r="E38" s="814"/>
      <c r="F38" s="814"/>
      <c r="G38" s="814"/>
      <c r="H38" s="814"/>
      <c r="M38" s="532"/>
      <c r="N38" s="532"/>
      <c r="O38" s="532"/>
      <c r="P38" s="532"/>
      <c r="Q38" s="532"/>
      <c r="R38" s="532"/>
      <c r="S38" s="532"/>
      <c r="T38" s="532"/>
      <c r="U38" s="532"/>
      <c r="V38" s="532"/>
    </row>
    <row r="39" spans="1:22" ht="13.5" customHeight="1" x14ac:dyDescent="0.2">
      <c r="A39" s="441"/>
      <c r="B39" s="441"/>
      <c r="D39" s="532">
        <f>IF(E2="OK, next step",100,0)</f>
        <v>0</v>
      </c>
      <c r="E39" s="532"/>
      <c r="F39" s="814"/>
      <c r="G39" s="814"/>
      <c r="H39" s="814"/>
      <c r="M39" s="532"/>
      <c r="N39" s="532"/>
      <c r="O39" s="532"/>
      <c r="P39" s="532"/>
      <c r="Q39" s="532"/>
      <c r="R39" s="532"/>
      <c r="S39" s="532"/>
      <c r="T39" s="532"/>
      <c r="U39" s="532"/>
      <c r="V39" s="532"/>
    </row>
    <row r="40" spans="1:22" ht="15" customHeight="1" x14ac:dyDescent="0.2">
      <c r="A40" s="994" t="str">
        <f>IF($B$25="yes","row 40  location information for technical connection","")</f>
        <v/>
      </c>
      <c r="B40" s="994"/>
      <c r="C40" s="234" t="str">
        <f>IF($B$25="yes",IF($J$46&lt;5,"STOP! Table incomplete","Table complete"),"")</f>
        <v/>
      </c>
      <c r="E40" s="814"/>
      <c r="F40" s="814"/>
      <c r="G40" s="814"/>
      <c r="H40" s="814"/>
      <c r="M40" s="532"/>
      <c r="N40" s="532"/>
      <c r="O40" s="532"/>
      <c r="P40" s="532"/>
      <c r="Q40" s="532"/>
      <c r="R40" s="532"/>
      <c r="S40" s="532"/>
      <c r="T40" s="532"/>
      <c r="U40" s="532"/>
      <c r="V40" s="532"/>
    </row>
    <row r="41" spans="1:22" ht="15" customHeight="1" x14ac:dyDescent="0.2">
      <c r="A41" s="442" t="str">
        <f>IF($B$25="yes","company name","")</f>
        <v/>
      </c>
      <c r="B41" s="735"/>
      <c r="C41" s="482" t="str">
        <f>IF($B$25="yes",IF(B41="","entry mandatory",""),"")</f>
        <v/>
      </c>
      <c r="D41" s="432"/>
      <c r="E41" s="814"/>
      <c r="F41" s="814"/>
      <c r="G41" s="814"/>
      <c r="H41" s="814"/>
      <c r="I41" s="240">
        <f t="shared" ref="I41:I46" si="2">IF(ISBLANK(B41),0,1)</f>
        <v>0</v>
      </c>
      <c r="M41" s="532"/>
      <c r="N41" s="532"/>
      <c r="O41" s="532"/>
      <c r="P41" s="532"/>
      <c r="Q41" s="532"/>
      <c r="R41" s="532"/>
      <c r="S41" s="532"/>
      <c r="T41" s="532"/>
      <c r="U41" s="532"/>
      <c r="V41" s="532"/>
    </row>
    <row r="42" spans="1:22" ht="15" customHeight="1" x14ac:dyDescent="0.2">
      <c r="A42" s="442" t="str">
        <f>IF($B$25="yes","street","")</f>
        <v/>
      </c>
      <c r="B42" s="735"/>
      <c r="C42" s="482" t="str">
        <f>IF($B$25="yes",IF(B42="","entry mandatory",""),"")</f>
        <v/>
      </c>
      <c r="D42" s="432"/>
      <c r="E42" s="814"/>
      <c r="F42" s="814"/>
      <c r="G42" s="814"/>
      <c r="H42" s="814"/>
      <c r="I42" s="240">
        <f>IF(ISBLANK(B42),0,1)</f>
        <v>0</v>
      </c>
      <c r="M42" s="532"/>
      <c r="N42" s="532"/>
      <c r="O42" s="532"/>
      <c r="P42" s="532"/>
      <c r="Q42" s="532"/>
      <c r="R42" s="532"/>
      <c r="S42" s="532"/>
      <c r="T42" s="532"/>
      <c r="U42" s="532"/>
      <c r="V42" s="532"/>
    </row>
    <row r="43" spans="1:22" ht="15" customHeight="1" x14ac:dyDescent="0.2">
      <c r="A43" s="442" t="str">
        <f>IF($B$25="yes","postcode","")</f>
        <v/>
      </c>
      <c r="B43" s="736"/>
      <c r="C43" s="482" t="str">
        <f>IF($B$25="yes",IF(B43="","entry mandatory",""),"")</f>
        <v/>
      </c>
      <c r="D43" s="432"/>
      <c r="E43" s="814"/>
      <c r="F43" s="814"/>
      <c r="G43" s="814"/>
      <c r="H43" s="814"/>
      <c r="I43" s="240">
        <f t="shared" si="2"/>
        <v>0</v>
      </c>
      <c r="M43" s="532"/>
      <c r="N43" s="532"/>
      <c r="O43" s="532"/>
      <c r="P43" s="532"/>
      <c r="Q43" s="532"/>
      <c r="R43" s="532"/>
      <c r="S43" s="532"/>
      <c r="T43" s="532"/>
      <c r="U43" s="532"/>
      <c r="V43" s="532"/>
    </row>
    <row r="44" spans="1:22" ht="15" customHeight="1" x14ac:dyDescent="0.2">
      <c r="A44" s="442" t="str">
        <f>IF($B$25="yes","city","")</f>
        <v/>
      </c>
      <c r="B44" s="735"/>
      <c r="C44" s="482" t="str">
        <f>IF($B$25="yes",IF(B44="","entry mandatory",""),"")</f>
        <v/>
      </c>
      <c r="D44" s="432"/>
      <c r="E44" s="814"/>
      <c r="F44" s="814"/>
      <c r="G44" s="814"/>
      <c r="H44" s="814"/>
      <c r="I44" s="240">
        <f t="shared" si="2"/>
        <v>0</v>
      </c>
      <c r="M44" s="532"/>
      <c r="N44" s="532"/>
      <c r="O44" s="532"/>
      <c r="P44" s="532"/>
      <c r="Q44" s="532"/>
      <c r="R44" s="532"/>
      <c r="S44" s="532"/>
      <c r="T44" s="532"/>
      <c r="U44" s="532"/>
      <c r="V44" s="532"/>
    </row>
    <row r="45" spans="1:22" s="532" customFormat="1" ht="15" customHeight="1" x14ac:dyDescent="0.2">
      <c r="A45" s="564" t="str">
        <f>IF($B$25="yes","country","")</f>
        <v/>
      </c>
      <c r="B45" s="724"/>
      <c r="C45" s="482" t="str">
        <f>IF($B$25="yes",IF(B45="","entry mandatory",""),"")</f>
        <v/>
      </c>
      <c r="D45" s="533"/>
      <c r="E45" s="814"/>
      <c r="F45" s="814"/>
      <c r="G45" s="814"/>
      <c r="H45" s="814"/>
      <c r="I45" s="240">
        <f t="shared" si="2"/>
        <v>0</v>
      </c>
    </row>
    <row r="46" spans="1:22" s="532" customFormat="1" ht="15" customHeight="1" x14ac:dyDescent="0.2">
      <c r="A46" s="564" t="str">
        <f>IF($B$25="yes","DUNS number of technical location","")</f>
        <v/>
      </c>
      <c r="B46" s="718"/>
      <c r="C46" s="722" t="str">
        <f>IF($B$25="yes",IF(B46&lt;&gt;"","",IF(B46="","entry desired"," ")),"")</f>
        <v/>
      </c>
      <c r="D46" s="533" t="str">
        <f>IF(B46&lt;&gt;"",IF(B56="","",""),"")</f>
        <v/>
      </c>
      <c r="E46" s="814"/>
      <c r="F46" s="814"/>
      <c r="G46" s="814"/>
      <c r="H46" s="814"/>
      <c r="I46" s="240">
        <f t="shared" si="2"/>
        <v>0</v>
      </c>
      <c r="J46" s="532">
        <f>SUM(I41:I45)</f>
        <v>0</v>
      </c>
      <c r="L46" s="532" t="str">
        <f>IF(I25=2,IF(J46=5,"vollständig","unvollständig"),IF(I25=0,"Auswahl offen","nr"))</f>
        <v>Auswahl offen</v>
      </c>
    </row>
    <row r="47" spans="1:22" s="532" customFormat="1" ht="30.75" customHeight="1" x14ac:dyDescent="0.2">
      <c r="A47" s="542"/>
      <c r="B47" s="998" t="str">
        <f>IF(B46="","",IF(B46=B21,"DUNS number identical  to contract location. Location needs an own DUNS numer if address is different from contract.",""))</f>
        <v/>
      </c>
      <c r="C47" s="999"/>
      <c r="D47" s="1000"/>
      <c r="E47" s="814"/>
      <c r="F47" s="814"/>
      <c r="G47" s="814"/>
      <c r="H47" s="814"/>
    </row>
    <row r="48" spans="1:22" s="532" customFormat="1" ht="15" customHeight="1" x14ac:dyDescent="0.2">
      <c r="A48" s="994" t="str">
        <f>IF($B$26="yes","row 48  location information for data access","")</f>
        <v/>
      </c>
      <c r="B48" s="994"/>
      <c r="C48" s="356" t="str">
        <f>IF($B$26="yes",IF($J$57&lt;9,"STOP! Table incomplete or data are incorrect","Table complete"),"")</f>
        <v/>
      </c>
      <c r="D48" s="462"/>
      <c r="E48" s="820"/>
      <c r="F48" s="814"/>
      <c r="G48" s="814"/>
      <c r="H48" s="814"/>
    </row>
    <row r="49" spans="1:25" s="532" customFormat="1" ht="15" customHeight="1" x14ac:dyDescent="0.2">
      <c r="A49" s="564" t="str">
        <f>IF($B$26="yes","company name","")</f>
        <v/>
      </c>
      <c r="B49" s="737"/>
      <c r="C49" s="482" t="str">
        <f t="shared" ref="C49:C52" si="3">IF($B$26="yes",IF(B49="","entry mandatory",""),"")</f>
        <v/>
      </c>
      <c r="D49" s="725"/>
      <c r="E49" s="820"/>
      <c r="F49" s="814"/>
      <c r="G49" s="814"/>
      <c r="H49" s="814"/>
      <c r="I49" s="240">
        <f t="shared" ref="I49:I54" si="4">IF(ISBLANK(B49),0,1)</f>
        <v>0</v>
      </c>
    </row>
    <row r="50" spans="1:25" s="532" customFormat="1" ht="15" customHeight="1" x14ac:dyDescent="0.2">
      <c r="A50" s="564" t="str">
        <f>IF($B$26="yes","street","")</f>
        <v/>
      </c>
      <c r="B50" s="737"/>
      <c r="C50" s="482" t="str">
        <f t="shared" si="3"/>
        <v/>
      </c>
      <c r="D50" s="725"/>
      <c r="E50" s="820"/>
      <c r="F50" s="814"/>
      <c r="G50" s="814"/>
      <c r="H50" s="814"/>
      <c r="I50" s="240">
        <f t="shared" si="4"/>
        <v>0</v>
      </c>
    </row>
    <row r="51" spans="1:25" s="532" customFormat="1" ht="15" customHeight="1" x14ac:dyDescent="0.2">
      <c r="A51" s="564" t="str">
        <f>IF($B$26="yes","postcode","")</f>
        <v/>
      </c>
      <c r="B51" s="738"/>
      <c r="C51" s="482" t="str">
        <f t="shared" si="3"/>
        <v/>
      </c>
      <c r="D51" s="725"/>
      <c r="E51" s="820"/>
      <c r="I51" s="240">
        <f t="shared" si="4"/>
        <v>0</v>
      </c>
    </row>
    <row r="52" spans="1:25" s="532" customFormat="1" ht="15" customHeight="1" x14ac:dyDescent="0.2">
      <c r="A52" s="564" t="str">
        <f>IF($B$26="yes","city","")</f>
        <v/>
      </c>
      <c r="B52" s="737"/>
      <c r="C52" s="482" t="str">
        <f t="shared" si="3"/>
        <v/>
      </c>
      <c r="D52" s="725"/>
      <c r="E52" s="820"/>
      <c r="I52" s="240">
        <f t="shared" si="4"/>
        <v>0</v>
      </c>
    </row>
    <row r="53" spans="1:25" s="532" customFormat="1" ht="15" customHeight="1" x14ac:dyDescent="0.2">
      <c r="A53" s="564" t="str">
        <f>IF($B$26="yes","country","")</f>
        <v/>
      </c>
      <c r="B53" s="724"/>
      <c r="C53" s="482" t="str">
        <f>IF($B$26="yes",IF(B53="","entry mandatory",""),"")</f>
        <v/>
      </c>
      <c r="D53" s="725"/>
      <c r="E53" s="462"/>
      <c r="I53" s="240">
        <f t="shared" si="4"/>
        <v>0</v>
      </c>
    </row>
    <row r="54" spans="1:25" s="532" customFormat="1" ht="18.75" customHeight="1" x14ac:dyDescent="0.2">
      <c r="A54" s="731" t="str">
        <f>IF($B$26="yes","DUNS number of data exchange location ","")</f>
        <v/>
      </c>
      <c r="B54" s="718"/>
      <c r="C54" s="995" t="str">
        <f>IF($B$26="yes",IF(B54="","entry mandatory",IF(B54=B21,"DUNS number identical  to contract location. Location for data access needs an own DUNS numer if address is different from contract.","")),"")</f>
        <v/>
      </c>
      <c r="D54" s="995"/>
      <c r="E54" s="996"/>
      <c r="I54" s="240">
        <f t="shared" si="4"/>
        <v>0</v>
      </c>
    </row>
    <row r="55" spans="1:25" ht="26.25" customHeight="1" x14ac:dyDescent="0.2">
      <c r="A55" s="732" t="s">
        <v>1006</v>
      </c>
      <c r="B55" s="733"/>
      <c r="C55" s="734" t="str">
        <f>IF(B49="","",IF(B55&lt;&gt;"","",IF(P63=2,"entry mandatory","")))</f>
        <v/>
      </c>
      <c r="D55" s="821"/>
      <c r="E55" s="822"/>
      <c r="F55" s="532"/>
      <c r="G55" s="532"/>
      <c r="H55" s="532"/>
      <c r="I55" s="240">
        <f>IF(P63=2,IF(ISBLANK(B55),0,1),1)</f>
        <v>1</v>
      </c>
      <c r="M55" s="532"/>
      <c r="N55" s="532"/>
      <c r="O55" s="532"/>
      <c r="P55" s="532"/>
      <c r="Q55" s="532"/>
      <c r="R55" s="532"/>
      <c r="S55" s="532"/>
      <c r="T55" s="532"/>
      <c r="U55" s="532"/>
      <c r="V55" s="532"/>
      <c r="W55" s="532"/>
      <c r="X55" s="532"/>
      <c r="Y55" s="532"/>
    </row>
    <row r="56" spans="1:25" s="532" customFormat="1" ht="27.75" customHeight="1" x14ac:dyDescent="0.2">
      <c r="A56" s="740" t="str">
        <f>IF($B$26="yes","Are there any further locations with data access?","")</f>
        <v/>
      </c>
      <c r="B56" s="724"/>
      <c r="C56" s="726" t="str">
        <f>IF($B$26="yes",IF(B56="","entry mandatory",IF(O56=10,"select only yes/no - further data recording in location list",IF(B56="yes",IF('add on data access locations'!P5=0,"waiting for recording of location data",""),""))),"")</f>
        <v/>
      </c>
      <c r="D56" s="824"/>
      <c r="E56" s="825"/>
      <c r="F56" s="901"/>
      <c r="G56" s="902"/>
      <c r="I56" s="240">
        <f>IF(ISBLANK(B56),0,IF(O56=10,0,1))</f>
        <v>0</v>
      </c>
      <c r="L56" s="532" t="str">
        <f>IF(I26=4,IF(J56=6,"vollständig","unvollständig"),IF(I26=0,"Auswahl offen","nr"))</f>
        <v>Auswahl offen</v>
      </c>
      <c r="O56" s="532">
        <f>IF(B56="",0,IF(B56="yes",1,IF(B56="no",1,10)))</f>
        <v>0</v>
      </c>
    </row>
    <row r="57" spans="1:25" s="532" customFormat="1" ht="15" customHeight="1" x14ac:dyDescent="0.2">
      <c r="A57" s="543" t="str">
        <f>IF($B$26="yes"," *Initially only 1 location for data exchange can be named. Please report further locations by e-mail using the same data fields. Please remind, each further location needs an own DUNS number.","")</f>
        <v/>
      </c>
      <c r="D57" s="823"/>
      <c r="E57" s="823"/>
      <c r="I57" s="532">
        <f>IF(C56="waiting for recording of location data",0,1)</f>
        <v>1</v>
      </c>
      <c r="J57" s="532">
        <f>SUM(I49:I57)</f>
        <v>2</v>
      </c>
    </row>
    <row r="58" spans="1:25" s="532" customFormat="1" ht="21" customHeight="1" x14ac:dyDescent="0.2">
      <c r="B58" s="727" t="str">
        <f>IF(B56="yes","Goto List of further locations / sheet--add on data access locations--","")</f>
        <v/>
      </c>
      <c r="D58" s="823"/>
      <c r="E58" s="823"/>
      <c r="I58" s="532">
        <f>SUM(I16:I57)</f>
        <v>4</v>
      </c>
    </row>
    <row r="59" spans="1:25" s="532" customFormat="1" ht="15" customHeight="1" x14ac:dyDescent="0.2">
      <c r="A59" s="814"/>
      <c r="B59" s="814"/>
      <c r="C59" s="814"/>
      <c r="D59" s="532">
        <f>IF(C36="e-mail address incorrect",10,0)</f>
        <v>0</v>
      </c>
      <c r="E59" s="814"/>
      <c r="F59" s="814"/>
      <c r="G59" s="814"/>
      <c r="H59" s="814"/>
      <c r="I59" s="814"/>
      <c r="J59" s="814"/>
      <c r="K59" s="814"/>
      <c r="L59" s="814"/>
    </row>
    <row r="60" spans="1:25" s="532" customFormat="1" ht="15" customHeight="1" x14ac:dyDescent="0.2">
      <c r="A60" s="814"/>
      <c r="B60" s="814"/>
      <c r="C60" s="814"/>
      <c r="D60" s="532">
        <f>IF(C15="Table complete",IF(I10=1,1,0),0)</f>
        <v>0</v>
      </c>
      <c r="E60" s="814"/>
      <c r="F60" s="814"/>
      <c r="G60" s="814"/>
      <c r="H60" s="814"/>
      <c r="I60" s="814"/>
      <c r="J60" s="814"/>
      <c r="K60" s="814"/>
      <c r="L60" s="814"/>
    </row>
    <row r="61" spans="1:25" s="532" customFormat="1" ht="15" customHeight="1" x14ac:dyDescent="0.2">
      <c r="A61" s="814"/>
      <c r="B61" s="814"/>
      <c r="C61" s="814"/>
      <c r="D61" s="532">
        <f>IF(C40="",0,IF(C40="Table complete",1,10))</f>
        <v>0</v>
      </c>
      <c r="E61" s="814"/>
      <c r="F61" s="814"/>
      <c r="G61" s="814"/>
      <c r="H61" s="814"/>
      <c r="I61" s="814"/>
      <c r="J61" s="814"/>
      <c r="K61" s="814"/>
      <c r="L61" s="814"/>
      <c r="P61" s="532" t="s">
        <v>1022</v>
      </c>
    </row>
    <row r="62" spans="1:25" s="532" customFormat="1" ht="15" customHeight="1" x14ac:dyDescent="0.2">
      <c r="A62" s="814"/>
      <c r="B62" s="814"/>
      <c r="C62" s="814"/>
      <c r="D62" s="532">
        <f>IF(C48="",0,IF(C48="Table complete",1,10))</f>
        <v>0</v>
      </c>
      <c r="E62" s="814"/>
      <c r="F62" s="814"/>
      <c r="G62" s="814"/>
      <c r="H62" s="814"/>
      <c r="I62" s="814"/>
      <c r="J62" s="814"/>
      <c r="K62" s="814"/>
      <c r="L62" s="814"/>
      <c r="P62" s="532">
        <f>IF(B26="yes",1,0)</f>
        <v>0</v>
      </c>
      <c r="Q62" s="462" t="s">
        <v>1021</v>
      </c>
    </row>
    <row r="63" spans="1:25" s="532" customFormat="1" ht="15" customHeight="1" x14ac:dyDescent="0.2">
      <c r="A63" s="814"/>
      <c r="B63" s="814"/>
      <c r="C63" s="814"/>
      <c r="D63" s="532">
        <f>SUM(D59:D62)</f>
        <v>0</v>
      </c>
      <c r="E63" s="814"/>
      <c r="F63" s="814"/>
      <c r="G63" s="814"/>
      <c r="H63" s="814"/>
      <c r="I63" s="814"/>
      <c r="J63" s="814"/>
      <c r="K63" s="814"/>
      <c r="L63" s="814"/>
      <c r="P63" s="532">
        <f>IF(P62=1,IF(EXACT(B16,B49)=TRUE,1,2),1)</f>
        <v>1</v>
      </c>
      <c r="Q63" s="462" t="s">
        <v>1023</v>
      </c>
    </row>
    <row r="64" spans="1:25" s="532" customFormat="1" ht="15" customHeight="1" x14ac:dyDescent="0.2">
      <c r="A64" s="814"/>
      <c r="B64" s="814"/>
      <c r="C64" s="814"/>
      <c r="D64" s="814"/>
      <c r="E64" s="814"/>
      <c r="F64" s="814"/>
      <c r="G64" s="814"/>
      <c r="H64" s="814"/>
      <c r="I64" s="814"/>
      <c r="J64" s="814"/>
      <c r="K64" s="814"/>
      <c r="L64" s="814"/>
    </row>
    <row r="65" spans="1:22" s="532" customFormat="1" ht="15" customHeight="1" x14ac:dyDescent="0.2">
      <c r="A65" s="814"/>
      <c r="B65" s="814"/>
      <c r="C65" s="814"/>
      <c r="D65" s="814"/>
      <c r="E65" s="814"/>
      <c r="F65" s="814"/>
      <c r="G65" s="814"/>
      <c r="H65" s="814"/>
      <c r="I65" s="814"/>
      <c r="J65" s="814"/>
      <c r="K65" s="814"/>
      <c r="L65" s="814"/>
    </row>
    <row r="66" spans="1:22" s="532" customFormat="1" ht="15" customHeight="1" x14ac:dyDescent="0.2">
      <c r="A66" s="814"/>
      <c r="B66" s="814"/>
      <c r="C66" s="814"/>
      <c r="D66" s="814"/>
      <c r="E66" s="814"/>
      <c r="F66" s="814"/>
      <c r="G66" s="814"/>
      <c r="H66" s="814"/>
      <c r="I66" s="814"/>
      <c r="J66" s="814"/>
      <c r="K66" s="814"/>
      <c r="L66" s="814"/>
    </row>
    <row r="67" spans="1:22" s="532" customFormat="1" ht="15" customHeight="1" x14ac:dyDescent="0.2">
      <c r="A67" s="814"/>
      <c r="B67" s="814"/>
      <c r="C67" s="814"/>
      <c r="D67" s="814"/>
      <c r="E67" s="814"/>
      <c r="F67" s="814"/>
      <c r="G67" s="814"/>
      <c r="H67" s="814"/>
      <c r="I67" s="814"/>
      <c r="J67" s="814"/>
      <c r="K67" s="814"/>
      <c r="L67" s="814"/>
    </row>
    <row r="68" spans="1:22" s="532" customFormat="1" ht="15" customHeight="1" x14ac:dyDescent="0.2">
      <c r="A68" s="814"/>
      <c r="B68" s="814"/>
      <c r="C68" s="814"/>
      <c r="D68" s="814"/>
      <c r="E68" s="814"/>
      <c r="F68" s="814"/>
      <c r="G68" s="814"/>
      <c r="H68" s="814"/>
      <c r="I68" s="814"/>
      <c r="J68" s="814"/>
      <c r="K68" s="814"/>
      <c r="L68" s="814"/>
    </row>
    <row r="69" spans="1:22" s="532" customFormat="1" ht="15" customHeight="1" x14ac:dyDescent="0.2">
      <c r="A69" s="814"/>
      <c r="B69" s="814"/>
      <c r="C69" s="814"/>
      <c r="D69" s="814"/>
      <c r="E69" s="814"/>
      <c r="F69" s="814"/>
      <c r="G69" s="814"/>
      <c r="H69" s="814"/>
      <c r="I69" s="814"/>
      <c r="J69" s="814"/>
      <c r="K69" s="814"/>
      <c r="L69" s="814"/>
    </row>
    <row r="70" spans="1:22" ht="15" customHeight="1" x14ac:dyDescent="0.2">
      <c r="A70" s="814"/>
      <c r="B70" s="814"/>
      <c r="C70" s="814"/>
      <c r="D70" s="814"/>
      <c r="E70" s="814"/>
      <c r="F70" s="814"/>
      <c r="G70" s="814"/>
      <c r="H70" s="814"/>
      <c r="I70" s="814"/>
      <c r="J70" s="814"/>
      <c r="K70" s="814"/>
      <c r="L70" s="814"/>
      <c r="M70" s="532"/>
      <c r="N70" s="532"/>
      <c r="O70" s="532"/>
      <c r="P70" s="532"/>
      <c r="Q70" s="532"/>
      <c r="R70" s="532"/>
      <c r="S70" s="532"/>
      <c r="T70" s="532"/>
      <c r="U70" s="532"/>
      <c r="V70" s="532"/>
    </row>
    <row r="71" spans="1:22" ht="15" customHeight="1" x14ac:dyDescent="0.2">
      <c r="A71" s="814"/>
      <c r="B71" s="814"/>
      <c r="C71" s="814"/>
      <c r="D71" s="814"/>
      <c r="E71" s="814"/>
      <c r="F71" s="814"/>
      <c r="G71" s="814"/>
      <c r="H71" s="814"/>
      <c r="I71" s="814"/>
      <c r="J71" s="814"/>
      <c r="K71" s="814"/>
      <c r="L71" s="814"/>
      <c r="M71" s="823"/>
      <c r="N71" s="823"/>
      <c r="O71" s="823"/>
      <c r="P71" s="823"/>
      <c r="Q71" s="823"/>
      <c r="R71" s="823"/>
      <c r="S71" s="823"/>
      <c r="T71" s="823"/>
      <c r="U71" s="823"/>
    </row>
    <row r="72" spans="1:22" ht="15" customHeight="1" x14ac:dyDescent="0.2">
      <c r="A72" s="814"/>
      <c r="B72" s="814"/>
      <c r="C72" s="814"/>
      <c r="D72" s="814"/>
      <c r="E72" s="814"/>
      <c r="F72" s="814"/>
      <c r="G72" s="814"/>
      <c r="H72" s="814"/>
      <c r="I72" s="814"/>
      <c r="J72" s="814"/>
      <c r="K72" s="814"/>
      <c r="L72" s="814"/>
      <c r="M72" s="823"/>
      <c r="N72" s="823"/>
      <c r="O72" s="823"/>
      <c r="P72" s="823"/>
      <c r="Q72" s="823"/>
      <c r="R72" s="823"/>
      <c r="S72" s="823"/>
      <c r="T72" s="823"/>
      <c r="U72" s="823"/>
    </row>
    <row r="73" spans="1:22" ht="15" customHeight="1" x14ac:dyDescent="0.2">
      <c r="A73" s="814"/>
      <c r="B73" s="814"/>
      <c r="C73" s="814"/>
      <c r="D73" s="814"/>
      <c r="E73" s="814"/>
      <c r="F73" s="814"/>
      <c r="G73" s="814"/>
      <c r="H73" s="814"/>
      <c r="I73" s="814"/>
      <c r="J73" s="814"/>
      <c r="K73" s="814"/>
      <c r="L73" s="814"/>
      <c r="M73" s="823"/>
      <c r="N73" s="823"/>
      <c r="O73" s="823"/>
      <c r="P73" s="823"/>
      <c r="Q73" s="823"/>
      <c r="R73" s="823"/>
      <c r="S73" s="823"/>
      <c r="T73" s="823"/>
      <c r="U73" s="823"/>
    </row>
    <row r="74" spans="1:22" ht="15" customHeight="1" x14ac:dyDescent="0.2">
      <c r="A74" s="814"/>
      <c r="B74" s="814"/>
      <c r="C74" s="814"/>
      <c r="D74" s="814"/>
      <c r="E74" s="814"/>
      <c r="F74" s="814"/>
      <c r="G74" s="814"/>
      <c r="H74" s="814"/>
      <c r="I74" s="814"/>
      <c r="J74" s="814"/>
      <c r="K74" s="814"/>
      <c r="L74" s="814"/>
      <c r="M74" s="823"/>
      <c r="N74" s="823"/>
      <c r="O74" s="823"/>
      <c r="P74" s="823"/>
      <c r="Q74" s="823"/>
      <c r="R74" s="823"/>
      <c r="S74" s="823"/>
      <c r="T74" s="823"/>
      <c r="U74" s="823"/>
    </row>
    <row r="75" spans="1:22" ht="15" customHeight="1" x14ac:dyDescent="0.2">
      <c r="A75" s="814"/>
      <c r="B75" s="814"/>
      <c r="C75" s="814"/>
      <c r="D75" s="814"/>
      <c r="E75" s="814"/>
      <c r="F75" s="814"/>
      <c r="G75" s="814"/>
      <c r="H75" s="814"/>
      <c r="I75" s="814"/>
      <c r="J75" s="814"/>
      <c r="K75" s="814"/>
      <c r="L75" s="814"/>
      <c r="M75" s="823"/>
      <c r="N75" s="823"/>
      <c r="O75" s="823"/>
      <c r="P75" s="823"/>
      <c r="Q75" s="823"/>
      <c r="R75" s="823"/>
      <c r="S75" s="823"/>
      <c r="T75" s="823"/>
      <c r="U75" s="823"/>
    </row>
    <row r="76" spans="1:22" ht="15" customHeight="1" x14ac:dyDescent="0.2">
      <c r="A76" s="814"/>
      <c r="B76" s="814"/>
      <c r="C76" s="814"/>
      <c r="D76" s="814"/>
      <c r="E76" s="814"/>
      <c r="F76" s="814"/>
      <c r="G76" s="814"/>
      <c r="H76" s="814"/>
      <c r="I76" s="814"/>
      <c r="J76" s="814"/>
      <c r="K76" s="814"/>
      <c r="L76" s="814"/>
      <c r="M76" s="823"/>
      <c r="N76" s="823"/>
      <c r="O76" s="823"/>
      <c r="P76" s="823"/>
      <c r="Q76" s="823"/>
      <c r="R76" s="823"/>
      <c r="S76" s="823"/>
      <c r="T76" s="823"/>
      <c r="U76" s="823"/>
    </row>
    <row r="77" spans="1:22" ht="15" customHeight="1" x14ac:dyDescent="0.2">
      <c r="A77" s="814"/>
      <c r="B77" s="814"/>
      <c r="C77" s="814"/>
      <c r="D77" s="814"/>
      <c r="E77" s="814"/>
      <c r="F77" s="814"/>
      <c r="G77" s="814"/>
      <c r="H77" s="814"/>
      <c r="I77" s="814"/>
      <c r="J77" s="814"/>
      <c r="K77" s="814"/>
      <c r="L77" s="814"/>
    </row>
    <row r="78" spans="1:22" ht="15" customHeight="1" x14ac:dyDescent="0.2">
      <c r="A78" s="814"/>
      <c r="B78" s="814"/>
      <c r="C78" s="814"/>
      <c r="D78" s="814"/>
      <c r="E78" s="814"/>
      <c r="F78" s="814"/>
      <c r="G78" s="814"/>
      <c r="H78" s="814"/>
      <c r="I78" s="814"/>
      <c r="J78" s="814"/>
      <c r="K78" s="814"/>
      <c r="L78" s="814"/>
    </row>
    <row r="79" spans="1:22" ht="15" customHeight="1" x14ac:dyDescent="0.2">
      <c r="A79" s="814"/>
      <c r="B79" s="814"/>
      <c r="C79" s="814"/>
      <c r="D79" s="814"/>
      <c r="E79" s="814"/>
      <c r="F79" s="814"/>
      <c r="G79" s="814"/>
      <c r="H79" s="814"/>
      <c r="I79" s="814"/>
      <c r="J79" s="814"/>
      <c r="K79" s="814"/>
      <c r="L79" s="814"/>
    </row>
    <row r="80" spans="1:22" ht="15" customHeight="1" x14ac:dyDescent="0.2">
      <c r="A80" s="814"/>
      <c r="B80" s="814"/>
      <c r="C80" s="814"/>
      <c r="D80" s="814"/>
      <c r="E80" s="814"/>
      <c r="F80" s="814"/>
      <c r="G80" s="814"/>
      <c r="H80" s="814"/>
      <c r="I80" s="814"/>
      <c r="J80" s="814"/>
      <c r="K80" s="814"/>
      <c r="L80" s="814"/>
    </row>
    <row r="81" spans="1:12" ht="15" customHeight="1" x14ac:dyDescent="0.2">
      <c r="A81" s="814"/>
      <c r="B81" s="814"/>
      <c r="C81" s="814"/>
      <c r="D81" s="814"/>
      <c r="E81" s="814"/>
      <c r="F81" s="814"/>
      <c r="G81" s="814"/>
      <c r="H81" s="814"/>
      <c r="I81" s="814"/>
      <c r="J81" s="814"/>
      <c r="K81" s="814"/>
      <c r="L81" s="814"/>
    </row>
  </sheetData>
  <sheetProtection algorithmName="SHA-512" hashValue="chg/SkzlqvjvBASTpc8fS5fxlArQMIdLFrZhdoBaT1LnEiVfk0VBdwMb2Qtm391i+6efs9OX8xwQyc6rOcfd6Q==" saltValue="COJHXsWakBSq9b08jToB/Q==" spinCount="100000" sheet="1" formatCells="0"/>
  <mergeCells count="8">
    <mergeCell ref="A5:B5"/>
    <mergeCell ref="A4:D4"/>
    <mergeCell ref="A48:B48"/>
    <mergeCell ref="C54:E54"/>
    <mergeCell ref="A15:B15"/>
    <mergeCell ref="A29:B29"/>
    <mergeCell ref="A40:B40"/>
    <mergeCell ref="B47:D47"/>
  </mergeCells>
  <conditionalFormatting sqref="B26">
    <cfRule type="containsBlanks" dxfId="724" priority="86">
      <formula>LEN(TRIM(B26))=0</formula>
    </cfRule>
  </conditionalFormatting>
  <conditionalFormatting sqref="A40:B40">
    <cfRule type="expression" dxfId="723" priority="71">
      <formula>$C$40="Table complete"</formula>
    </cfRule>
    <cfRule type="expression" dxfId="722" priority="82">
      <formula>$B$25="yes"</formula>
    </cfRule>
  </conditionalFormatting>
  <conditionalFormatting sqref="A41:A46">
    <cfRule type="expression" dxfId="721" priority="81">
      <formula>$B$25="yes"</formula>
    </cfRule>
  </conditionalFormatting>
  <conditionalFormatting sqref="B17:B20">
    <cfRule type="containsBlanks" dxfId="720" priority="84">
      <formula>LEN(TRIM(B17))=0</formula>
    </cfRule>
  </conditionalFormatting>
  <conditionalFormatting sqref="B24">
    <cfRule type="expression" dxfId="719" priority="85">
      <formula>F24=1</formula>
    </cfRule>
  </conditionalFormatting>
  <conditionalFormatting sqref="B25">
    <cfRule type="containsBlanks" dxfId="718" priority="80">
      <formula>LEN(TRIM(B25))=0</formula>
    </cfRule>
  </conditionalFormatting>
  <conditionalFormatting sqref="C40">
    <cfRule type="cellIs" dxfId="717" priority="76" operator="equal">
      <formula>"STOP! Table incomplete"</formula>
    </cfRule>
    <cfRule type="cellIs" dxfId="716" priority="77" operator="equal">
      <formula>"Table complete"</formula>
    </cfRule>
  </conditionalFormatting>
  <conditionalFormatting sqref="C48">
    <cfRule type="cellIs" dxfId="715" priority="74" operator="equal">
      <formula>"STOP! Table incomplete or data are incorrect"</formula>
    </cfRule>
    <cfRule type="cellIs" dxfId="714" priority="75" operator="equal">
      <formula>"Table complete"</formula>
    </cfRule>
  </conditionalFormatting>
  <conditionalFormatting sqref="A49:A54">
    <cfRule type="expression" dxfId="713" priority="73">
      <formula>$B$26="yes"</formula>
    </cfRule>
  </conditionalFormatting>
  <conditionalFormatting sqref="A48:B48">
    <cfRule type="expression" dxfId="712" priority="70">
      <formula>$C$48="Table complete"</formula>
    </cfRule>
    <cfRule type="expression" dxfId="711" priority="72">
      <formula>$B$26="yes"</formula>
    </cfRule>
  </conditionalFormatting>
  <conditionalFormatting sqref="E2">
    <cfRule type="containsText" dxfId="710" priority="69" operator="containsText" text="OK; next step">
      <formula>NOT(ISERROR(SEARCH("OK; next step",E2)))</formula>
    </cfRule>
  </conditionalFormatting>
  <conditionalFormatting sqref="B41:B44">
    <cfRule type="expression" dxfId="709" priority="54">
      <formula>$B$25="yes"</formula>
    </cfRule>
  </conditionalFormatting>
  <conditionalFormatting sqref="B49:B52">
    <cfRule type="expression" dxfId="708" priority="44">
      <formula>$B$26="yes"</formula>
    </cfRule>
  </conditionalFormatting>
  <conditionalFormatting sqref="B45">
    <cfRule type="expression" dxfId="707" priority="53">
      <formula>$B$25="yes"</formula>
    </cfRule>
    <cfRule type="expression" dxfId="706" priority="65">
      <formula>$C$45="entry mandatory"</formula>
    </cfRule>
  </conditionalFormatting>
  <conditionalFormatting sqref="B53">
    <cfRule type="expression" dxfId="705" priority="43">
      <formula>$B$26="yes"</formula>
    </cfRule>
    <cfRule type="expression" dxfId="704" priority="64">
      <formula>$C$53="entry mandatory"</formula>
    </cfRule>
  </conditionalFormatting>
  <conditionalFormatting sqref="A29:B29">
    <cfRule type="expression" dxfId="703" priority="2">
      <formula>$D$36=100</formula>
    </cfRule>
    <cfRule type="expression" dxfId="702" priority="63">
      <formula>COUNTBLANK($B$30:$B$34)&gt;0</formula>
    </cfRule>
  </conditionalFormatting>
  <conditionalFormatting sqref="A15:B15">
    <cfRule type="expression" dxfId="701" priority="62">
      <formula>COUNTBLANK($B$16:$B$27)&gt;3</formula>
    </cfRule>
  </conditionalFormatting>
  <conditionalFormatting sqref="B36">
    <cfRule type="expression" dxfId="700" priority="59">
      <formula>$B$35="x"</formula>
    </cfRule>
    <cfRule type="containsBlanks" dxfId="699" priority="60">
      <formula>LEN(TRIM(B36))=0</formula>
    </cfRule>
  </conditionalFormatting>
  <conditionalFormatting sqref="C36">
    <cfRule type="cellIs" dxfId="698" priority="58" operator="equal">
      <formula>"Important: hardcopy form will be eliminated completely"</formula>
    </cfRule>
  </conditionalFormatting>
  <conditionalFormatting sqref="B41">
    <cfRule type="expression" dxfId="697" priority="68">
      <formula>$C$41="entry mandatory"</formula>
    </cfRule>
  </conditionalFormatting>
  <conditionalFormatting sqref="B42">
    <cfRule type="expression" dxfId="696" priority="57">
      <formula>$C$42="entry mandatory"</formula>
    </cfRule>
  </conditionalFormatting>
  <conditionalFormatting sqref="B43">
    <cfRule type="expression" dxfId="695" priority="56">
      <formula>$C$43="entry mandatory"</formula>
    </cfRule>
  </conditionalFormatting>
  <conditionalFormatting sqref="B44">
    <cfRule type="expression" dxfId="694" priority="55">
      <formula>$C$44="entry mandatory"</formula>
    </cfRule>
  </conditionalFormatting>
  <conditionalFormatting sqref="B54">
    <cfRule type="expression" dxfId="693" priority="50">
      <formula>$C$54="entry mandatory"</formula>
    </cfRule>
    <cfRule type="expression" dxfId="692" priority="52">
      <formula>$B$26="yes"</formula>
    </cfRule>
  </conditionalFormatting>
  <conditionalFormatting sqref="B54">
    <cfRule type="expression" dxfId="691" priority="51">
      <formula>$C$21="check DUNS - Entry incorrect"</formula>
    </cfRule>
  </conditionalFormatting>
  <conditionalFormatting sqref="B21">
    <cfRule type="containsBlanks" dxfId="690" priority="49">
      <formula>LEN(TRIM(B21))=0</formula>
    </cfRule>
  </conditionalFormatting>
  <conditionalFormatting sqref="B21">
    <cfRule type="expression" dxfId="689" priority="48">
      <formula>$C$21="DUNS prüfen - Eingabe fehlerhaft"</formula>
    </cfRule>
  </conditionalFormatting>
  <conditionalFormatting sqref="B49">
    <cfRule type="expression" dxfId="688" priority="67">
      <formula>$C$49="entry mandatory"</formula>
    </cfRule>
  </conditionalFormatting>
  <conditionalFormatting sqref="B50">
    <cfRule type="expression" dxfId="687" priority="47">
      <formula>$C$50="entry mandatory"</formula>
    </cfRule>
  </conditionalFormatting>
  <conditionalFormatting sqref="B51">
    <cfRule type="expression" dxfId="686" priority="46">
      <formula>$C$51="entry mandatory"</formula>
    </cfRule>
  </conditionalFormatting>
  <conditionalFormatting sqref="B52">
    <cfRule type="expression" dxfId="685" priority="45">
      <formula>$C$52="entry mandatory"</formula>
    </cfRule>
  </conditionalFormatting>
  <conditionalFormatting sqref="A56">
    <cfRule type="expression" dxfId="684" priority="39">
      <formula>$B$26="yes"</formula>
    </cfRule>
  </conditionalFormatting>
  <conditionalFormatting sqref="B56">
    <cfRule type="expression" dxfId="683" priority="34">
      <formula>$B$26="yes"</formula>
    </cfRule>
    <cfRule type="expression" dxfId="682" priority="35">
      <formula>$C$56="entry mandatory"</formula>
    </cfRule>
  </conditionalFormatting>
  <conditionalFormatting sqref="B27">
    <cfRule type="expression" dxfId="681" priority="31">
      <formula>$B$26&lt;&gt;"yes"</formula>
    </cfRule>
    <cfRule type="containsBlanks" dxfId="680" priority="33">
      <formula>LEN(TRIM(B27))=0</formula>
    </cfRule>
  </conditionalFormatting>
  <conditionalFormatting sqref="A27">
    <cfRule type="expression" dxfId="679" priority="32">
      <formula>$B$26&lt;&gt;"yes"</formula>
    </cfRule>
  </conditionalFormatting>
  <conditionalFormatting sqref="A55">
    <cfRule type="expression" dxfId="678" priority="30">
      <formula>$B$26="yes"</formula>
    </cfRule>
  </conditionalFormatting>
  <conditionalFormatting sqref="B55">
    <cfRule type="expression" dxfId="677" priority="25">
      <formula>$B$26&lt;&gt;"yes"</formula>
    </cfRule>
    <cfRule type="expression" dxfId="676" priority="26">
      <formula>$P$63=1</formula>
    </cfRule>
    <cfRule type="expression" dxfId="675" priority="27">
      <formula>$C$55="entry mandatory"</formula>
    </cfRule>
    <cfRule type="expression" dxfId="674" priority="29">
      <formula>$B$26="yes"</formula>
    </cfRule>
  </conditionalFormatting>
  <conditionalFormatting sqref="A55">
    <cfRule type="expression" dxfId="673" priority="24">
      <formula>$B$26&lt;&gt;"yes"</formula>
    </cfRule>
    <cfRule type="expression" dxfId="672" priority="28">
      <formula>$P$63=1</formula>
    </cfRule>
  </conditionalFormatting>
  <conditionalFormatting sqref="C54:E54">
    <cfRule type="cellIs" dxfId="671" priority="23" operator="equal">
      <formula>"DUNS number identical  to contract location. Location for data access needs an own DUNS numer if address is different from contract."</formula>
    </cfRule>
  </conditionalFormatting>
  <conditionalFormatting sqref="B46">
    <cfRule type="expression" dxfId="670" priority="22">
      <formula>$B$25="yes"</formula>
    </cfRule>
  </conditionalFormatting>
  <conditionalFormatting sqref="B7">
    <cfRule type="notContainsBlanks" dxfId="669" priority="19">
      <formula>LEN(TRIM(B7))&gt;0</formula>
    </cfRule>
    <cfRule type="expression" dxfId="668" priority="21">
      <formula>$I$7=2</formula>
    </cfRule>
  </conditionalFormatting>
  <conditionalFormatting sqref="D7">
    <cfRule type="notContainsBlanks" dxfId="667" priority="18">
      <formula>LEN(TRIM(D7))&gt;0</formula>
    </cfRule>
    <cfRule type="expression" dxfId="666" priority="20">
      <formula>$I$7=1</formula>
    </cfRule>
  </conditionalFormatting>
  <conditionalFormatting sqref="A5:B5">
    <cfRule type="expression" dxfId="665" priority="17">
      <formula>COUNTBLANK($B$16:$B$21)&gt;0</formula>
    </cfRule>
  </conditionalFormatting>
  <conditionalFormatting sqref="C7:C8">
    <cfRule type="expression" dxfId="664" priority="15">
      <formula>$I$7=1</formula>
    </cfRule>
  </conditionalFormatting>
  <conditionalFormatting sqref="A7:A8">
    <cfRule type="expression" dxfId="663" priority="14">
      <formula>$I$7=2</formula>
    </cfRule>
  </conditionalFormatting>
  <conditionalFormatting sqref="A4:D4">
    <cfRule type="expression" dxfId="662" priority="327">
      <formula>$E$2="OK, next step"</formula>
    </cfRule>
  </conditionalFormatting>
  <conditionalFormatting sqref="C2">
    <cfRule type="containsText" dxfId="661" priority="11" operator="containsText" text="Check again">
      <formula>NOT(ISERROR(SEARCH("Check again",C2)))</formula>
    </cfRule>
    <cfRule type="containsText" dxfId="660" priority="12" operator="containsText" text="CAUTION">
      <formula>NOT(ISERROR(SEARCH("CAUTION",C2)))</formula>
    </cfRule>
  </conditionalFormatting>
  <conditionalFormatting sqref="C3">
    <cfRule type="expression" dxfId="659" priority="8">
      <formula>$C$2="Check again"</formula>
    </cfRule>
    <cfRule type="expression" dxfId="658" priority="9">
      <formula>$C$2="CAUTION"</formula>
    </cfRule>
  </conditionalFormatting>
  <conditionalFormatting sqref="B35">
    <cfRule type="expression" dxfId="657" priority="4">
      <formula>$C$36="only fill in when participating in electronic invoice service -  row 235 shows a different statement"</formula>
    </cfRule>
    <cfRule type="expression" dxfId="656" priority="6">
      <formula>$D$35=1</formula>
    </cfRule>
  </conditionalFormatting>
  <conditionalFormatting sqref="C15">
    <cfRule type="cellIs" dxfId="655" priority="1" operator="equal">
      <formula>"Table complete"</formula>
    </cfRule>
  </conditionalFormatting>
  <dataValidations count="18">
    <dataValidation allowBlank="1" showInputMessage="1" showErrorMessage="1" prompt="location for installation of connection equipment_x000a__x000a_CAUTION: If technical location  is also location for data exchange and differs from contract the address has to be filled in in both tables and also the next question has to be answered with &quot;yes&quot;." sqref="A25" xr:uid="{00000000-0002-0000-0100-000000000000}"/>
    <dataValidation allowBlank="1" showInputMessage="1" showErrorMessage="1" prompt="Please note: don´t forget to add also brand information" sqref="B22:B23" xr:uid="{00000000-0002-0000-0100-000001000000}"/>
    <dataValidation allowBlank="1" showInputMessage="1" showErrorMessage="1" prompt="In case of missing data the information will be filled with above listed contract address." sqref="A29:B29 A30" xr:uid="{00000000-0002-0000-0100-000002000000}"/>
    <dataValidation allowBlank="1" showInputMessage="1" showErrorMessage="1" prompt="in case of  non-european country please fill in &quot;0&quot;" sqref="B24" xr:uid="{00000000-0002-0000-0100-000003000000}"/>
    <dataValidation allowBlank="1" showInputMessage="1" showErrorMessage="1" prompt="information only necessary for european countries_x000a_" sqref="A24" xr:uid="{00000000-0002-0000-0100-000004000000}"/>
    <dataValidation allowBlank="1" showInputMessage="1" showErrorMessage="1" prompt="Are differences (e.g. postcode, street number) in the address of contract location and location for data exchange, an own DUNS number for the location with data exchange is mandatory. _x000a_" sqref="B54" xr:uid="{00000000-0002-0000-0100-000005000000}"/>
    <dataValidation allowBlank="1" showInputMessage="1" showErrorMessage="1" prompt="Location where users will work with the requested services of VW Group for partner companies_x000a_" sqref="A26:A27" xr:uid="{00000000-0002-0000-0100-000006000000}"/>
    <dataValidation type="whole" allowBlank="1" showInputMessage="1" showErrorMessage="1" prompt="Are differences (e.g. postcode, street number) in the address of contract location and location for technical installation, an own DUNS number for the technical location is requested._x000a__x000a_" sqref="B46" xr:uid="{00000000-0002-0000-0100-000007000000}">
      <formula1>0</formula1>
      <formula2>999999999</formula2>
    </dataValidation>
    <dataValidation allowBlank="1" showInputMessage="1" showErrorMessage="1" prompt="The electronic invoice service is the usual one._x000a_Please note that in case of electronical delivery of invoice as pdf file the supply of hardcopy form is completely eliminated._x000a_" sqref="B36" xr:uid="{00000000-0002-0000-0100-000008000000}"/>
    <dataValidation allowBlank="1" showInputMessage="1" showErrorMessage="1" prompt="Search for DUNS number or registration are available on URL www.upik.de. Follow the link._x000a__x000a_Enter a 9-digit sequence without &quot;-&quot;._x000a_" sqref="B21" xr:uid="{00000000-0002-0000-0100-000009000000}"/>
    <dataValidation allowBlank="1" showInputMessage="1" showErrorMessage="1" prompt="CAUTION: Fill in the company name as recorded in the trade register" sqref="B49 B16 B30 B41" xr:uid="{00000000-0002-0000-0100-00000A000000}"/>
    <dataValidation type="list" allowBlank="1" showInputMessage="1" showErrorMessage="1" error="Please use selection list !" prompt="please use selection list_x000a__x000a_Please mark if your company can´t use the e-invoicing service." sqref="B35" xr:uid="{3FAE893B-630D-45B0-B5FB-6069034693F4}">
      <formula1>"x"</formula1>
    </dataValidation>
    <dataValidation type="list" allowBlank="1" showInputMessage="1" showErrorMessage="1" error="Please use selection list" prompt="Further locations with data access are possible by the contract. _x000a_Naming of these locations is mandatory." sqref="B56" xr:uid="{A1E78DF0-4C13-4CA2-8CB9-D9B617A6F27A}">
      <formula1>"yes, no"</formula1>
    </dataValidation>
    <dataValidation type="list" allowBlank="1" showInputMessage="1" showErrorMessage="1" error="only &quot;yes&quot; or &quot;no&quot; are allowed" prompt="Please use selection list" sqref="B27" xr:uid="{A15DE5AC-E663-4D32-9F9E-32DF1D16C748}">
      <formula1>"yes,no,no information possible"</formula1>
    </dataValidation>
    <dataValidation type="list" allowBlank="1" showInputMessage="1" showErrorMessage="1" error="Please use selection list " prompt="The company name differs from the above listet contractor. For contract preparation we need further information about the contractual relationship with Volkswagen Group." sqref="B55" xr:uid="{647876CF-6B2A-4827-9E92-1B3E9FF8B6C9}">
      <formula1>"yes, subcontracted by the above named contractor, subcontracted by third party"</formula1>
    </dataValidation>
    <dataValidation type="list" allowBlank="1" showInputMessage="1" showErrorMessage="1" prompt="please use selection list" sqref="B7:B8 D7:D8" xr:uid="{98067311-969C-46E7-A62C-2DC006CE44FF}">
      <formula1>"x"</formula1>
    </dataValidation>
    <dataValidation type="list" allowBlank="1" showInputMessage="1" showErrorMessage="1" error="please use selection list" prompt="please use selection list" sqref="B10" xr:uid="{DCD98E28-116F-49A8-AB1D-440EC3665D77}">
      <mc:AlternateContent xmlns:x12ac="http://schemas.microsoft.com/office/spreadsheetml/2011/1/ac" xmlns:mc="http://schemas.openxmlformats.org/markup-compatibility/2006">
        <mc:Choice Requires="x12ac">
          <x12ac:list>offer process," the cooperation agreement is concluded, preparation of cooperation",needs for the management of ongoing cooperation</x12ac:list>
        </mc:Choice>
        <mc:Fallback>
          <formula1>"offer process, the cooperation agreement is concluded, preparation of cooperation,needs for the management of ongoing cooperation"</formula1>
        </mc:Fallback>
      </mc:AlternateContent>
    </dataValidation>
    <dataValidation allowBlank="1" showInputMessage="1" showErrorMessage="1" prompt="If it´s not possible to name a project directly, please give us an hint of your motivation/reasons for the order &quot;provision / modification of the CSN network connection&quot;" sqref="B13" xr:uid="{A5EEB2CE-8CCC-4E74-AF87-CB411E8B5ACB}"/>
  </dataValidations>
  <hyperlinks>
    <hyperlink ref="D25" location="'company data'!B41" display="'company data'!B41" xr:uid="{00000000-0004-0000-0100-000000000000}"/>
    <hyperlink ref="D26" location="'company data'!B49" display="'company data'!B49" xr:uid="{00000000-0004-0000-0100-000001000000}"/>
    <hyperlink ref="B58" location="'add on data access locations'!B6" display="'add on data access locations'!B6" xr:uid="{F1FCE231-BD59-4B28-A395-370ECCE16350}"/>
  </hyperlinks>
  <pageMargins left="0.24" right="0.27559055118110237" top="0.46" bottom="0.38" header="0.31496062992125984" footer="0.31496062992125984"/>
  <pageSetup paperSize="9" scale="95" orientation="landscape" r:id="rId1"/>
  <drawing r:id="rId2"/>
  <extLst>
    <ext xmlns:x14="http://schemas.microsoft.com/office/spreadsheetml/2009/9/main" uri="{78C0D931-6437-407d-A8EE-F0AAD7539E65}">
      <x14:conditionalFormattings>
        <x14:conditionalFormatting xmlns:xm="http://schemas.microsoft.com/office/excel/2006/main">
          <x14:cfRule type="notContainsText" priority="83" operator="notContains" id="{8E89A2C0-A52C-4F2C-A485-8E5D65AA08F9}">
            <xm:f>ISERROR(SEARCH($B$16,B16))</xm:f>
            <xm:f>$B$16</xm:f>
            <x14:dxf>
              <fill>
                <patternFill>
                  <bgColor rgb="FFFF0000"/>
                </patternFill>
              </fill>
            </x14:dxf>
          </x14:cfRule>
          <xm:sqref>B16</xm:sqref>
        </x14:conditionalFormatting>
        <x14:conditionalFormatting xmlns:xm="http://schemas.microsoft.com/office/excel/2006/main">
          <x14:cfRule type="notContainsText" priority="16" operator="notContains" id="{FA408FCA-F866-4B84-BAAA-900E5693A35E}">
            <xm:f>ISERROR(SEARCH($B$15,B10))</xm:f>
            <xm:f>$B$15</xm:f>
            <x14:dxf>
              <fill>
                <patternFill>
                  <bgColor rgb="FFFF0000"/>
                </patternFill>
              </fill>
            </x14:dxf>
          </x14:cfRule>
          <xm:sqref>B10</xm:sqref>
        </x14:conditionalFormatting>
        <x14:conditionalFormatting xmlns:xm="http://schemas.microsoft.com/office/excel/2006/main">
          <x14:cfRule type="notContainsText" priority="7" operator="notContains" id="{2CD976D7-01BE-4607-B675-959AE907565C}">
            <xm:f>ISERROR(SEARCH($B$13,B13))</xm:f>
            <xm:f>$B$13</xm:f>
            <x14:dxf>
              <fill>
                <patternFill>
                  <bgColor rgb="FFFF0000"/>
                </patternFill>
              </fill>
            </x14:dxf>
          </x14:cfRule>
          <xm:sqref>B13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error="only &quot;yes&quot; or &quot;no&quot; are allowed" prompt="Please use selection list_x000a__x000a_In case of &quot;yes&quot; please pay attention to the further requested information at rows 39-46." xr:uid="{00000000-0002-0000-0100-00000B000000}">
          <x14:formula1>
            <xm:f>Stammdaten!$A$6:$A$7</xm:f>
          </x14:formula1>
          <xm:sqref>B26</xm:sqref>
        </x14:dataValidation>
        <x14:dataValidation type="list" allowBlank="1" showInputMessage="1" showErrorMessage="1" error="Please use selection list !" prompt="please use selection list" xr:uid="{00000000-0002-0000-0100-00000C000000}">
          <x14:formula1>
            <xm:f>public.landessprache!$B$2:$B$231</xm:f>
          </x14:formula1>
          <xm:sqref>B53 B20 B45 B34</xm:sqref>
        </x14:dataValidation>
        <x14:dataValidation type="list" allowBlank="1" showInputMessage="1" showErrorMessage="1" error="only &quot;yes&quot; or &quot;no&quot; are allowed" prompt="Please use selection list_x000a__x000a_In case of &quot;yes&quot; please pay attention to the further requested information at rows 41-46._x000a_" xr:uid="{00000000-0002-0000-0100-00000D000000}">
          <x14:formula1>
            <xm:f>Stammdaten!$A$6:$A$7</xm:f>
          </x14:formula1>
          <xm:sqref>B25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Q74"/>
  <sheetViews>
    <sheetView showGridLines="0" showRowColHeaders="0" showZeros="0" zoomScaleNormal="100" workbookViewId="0">
      <selection activeCell="A5" sqref="A5:F5"/>
    </sheetView>
  </sheetViews>
  <sheetFormatPr baseColWidth="10" defaultColWidth="9.140625" defaultRowHeight="14.25" x14ac:dyDescent="0.2"/>
  <cols>
    <col min="1" max="1" width="15.85546875" style="31" customWidth="1"/>
    <col min="2" max="2" width="21" style="31" customWidth="1"/>
    <col min="3" max="3" width="54.42578125" style="31" customWidth="1"/>
    <col min="4" max="4" width="7.85546875" style="85" customWidth="1"/>
    <col min="5" max="5" width="11.85546875" style="86" customWidth="1"/>
    <col min="6" max="6" width="21.7109375" style="365" customWidth="1"/>
    <col min="7" max="7" width="23" style="510" customWidth="1"/>
    <col min="8" max="8" width="14.7109375" style="510" customWidth="1"/>
    <col min="9" max="16384" width="9.140625" style="31"/>
  </cols>
  <sheetData>
    <row r="1" spans="1:17" x14ac:dyDescent="0.2">
      <c r="A1" s="12"/>
      <c r="B1" s="12"/>
      <c r="C1" s="12"/>
      <c r="D1" s="119"/>
      <c r="F1" s="366"/>
      <c r="G1" s="365"/>
    </row>
    <row r="2" spans="1:17" ht="18" x14ac:dyDescent="0.25">
      <c r="A2" s="12"/>
      <c r="B2" s="12"/>
      <c r="C2" s="12"/>
      <c r="D2" s="544" t="str">
        <f>IF($A$13+$A$21+$A$30+A37&lt;4,"STOP!","")</f>
        <v>STOP!</v>
      </c>
      <c r="E2" s="31"/>
      <c r="F2" s="805" t="str">
        <f>IF($D$2="STOP!","","OK, next step")</f>
        <v/>
      </c>
      <c r="G2" s="806"/>
    </row>
    <row r="3" spans="1:17" ht="27" customHeight="1" x14ac:dyDescent="0.25">
      <c r="A3" s="12"/>
      <c r="B3" s="12"/>
      <c r="C3" s="12"/>
      <c r="D3" s="541" t="str">
        <f>IF($D$2="STOP!","Sheet´s incomplete","")</f>
        <v>Sheet´s incomplete</v>
      </c>
      <c r="E3" s="12"/>
      <c r="F3" s="443"/>
      <c r="G3" s="606" t="str">
        <f>IF($A$13+C52+C54=3,"",IF(C52+C54&lt;2,IF($A$13=1,"Please check if further contacts can be named",""),""))</f>
        <v/>
      </c>
    </row>
    <row r="4" spans="1:17" ht="5.25" customHeight="1" x14ac:dyDescent="0.2">
      <c r="A4" s="12"/>
      <c r="B4" s="12"/>
      <c r="C4" s="12"/>
      <c r="D4" s="607"/>
      <c r="F4" s="536"/>
    </row>
    <row r="5" spans="1:17" ht="95.25" customHeight="1" x14ac:dyDescent="0.2">
      <c r="A5" s="1001" t="s">
        <v>815</v>
      </c>
      <c r="B5" s="1001"/>
      <c r="C5" s="1001"/>
      <c r="D5" s="1001"/>
      <c r="E5" s="1001"/>
      <c r="F5" s="1001"/>
      <c r="G5" s="365"/>
    </row>
    <row r="6" spans="1:17" s="231" customFormat="1" ht="6.75" customHeight="1" x14ac:dyDescent="0.2">
      <c r="A6" s="267"/>
      <c r="B6" s="268"/>
      <c r="C6" s="269"/>
      <c r="D6" s="270"/>
      <c r="E6" s="12"/>
      <c r="F6" s="608"/>
      <c r="G6" s="609"/>
      <c r="H6" s="609"/>
    </row>
    <row r="7" spans="1:17" ht="15" customHeight="1" x14ac:dyDescent="0.3">
      <c r="A7" s="12"/>
      <c r="B7" s="1002" t="s">
        <v>816</v>
      </c>
      <c r="C7" s="1003"/>
      <c r="D7" s="390" t="s">
        <v>793</v>
      </c>
      <c r="E7" s="1010" t="s">
        <v>966</v>
      </c>
      <c r="F7" s="1010"/>
      <c r="G7" s="610"/>
      <c r="H7" s="610"/>
      <c r="I7" s="275"/>
      <c r="J7" s="276"/>
      <c r="K7" s="276"/>
      <c r="L7" s="276"/>
      <c r="M7" s="276"/>
      <c r="N7" s="276"/>
      <c r="O7" s="276"/>
      <c r="P7" s="276"/>
      <c r="Q7" s="276"/>
    </row>
    <row r="8" spans="1:17" ht="15" customHeight="1" x14ac:dyDescent="0.2">
      <c r="A8" s="118" t="str">
        <f>IF(C12="","entry mandatory"," ")</f>
        <v>entry mandatory</v>
      </c>
      <c r="B8" s="774" t="s">
        <v>1026</v>
      </c>
      <c r="C8" s="769"/>
      <c r="D8" s="758" t="str">
        <f>IF(C8&lt;&gt;"",IF(G8=1,"OK","use only selection list for filling"),"")</f>
        <v/>
      </c>
      <c r="E8" s="1010"/>
      <c r="F8" s="1010"/>
      <c r="G8" s="610">
        <f>IF(C8="Mr",1,IF(C8="Mrs",1,0))</f>
        <v>0</v>
      </c>
      <c r="H8" s="610"/>
      <c r="I8" s="279"/>
    </row>
    <row r="9" spans="1:17" ht="15" customHeight="1" x14ac:dyDescent="0.2">
      <c r="A9" s="524"/>
      <c r="B9" s="611" t="s">
        <v>817</v>
      </c>
      <c r="C9" s="770"/>
      <c r="D9" s="759" t="str">
        <f t="shared" ref="D9:D13" si="0">IF(C9&lt;&gt;"","OK","")</f>
        <v/>
      </c>
      <c r="E9" s="1010"/>
      <c r="F9" s="1010"/>
      <c r="G9" s="610"/>
      <c r="H9" s="610"/>
      <c r="I9" s="279"/>
    </row>
    <row r="10" spans="1:17" ht="15" customHeight="1" x14ac:dyDescent="0.2">
      <c r="A10" s="12"/>
      <c r="B10" s="611" t="s">
        <v>818</v>
      </c>
      <c r="C10" s="546"/>
      <c r="D10" s="759" t="str">
        <f t="shared" si="0"/>
        <v/>
      </c>
      <c r="E10" s="1010"/>
      <c r="F10" s="1010"/>
      <c r="G10" s="610"/>
      <c r="H10" s="610"/>
      <c r="I10" s="279"/>
    </row>
    <row r="11" spans="1:17" ht="15" customHeight="1" x14ac:dyDescent="0.2">
      <c r="A11" s="12"/>
      <c r="B11" s="611" t="s">
        <v>819</v>
      </c>
      <c r="C11" s="546"/>
      <c r="D11" s="759" t="str">
        <f t="shared" si="0"/>
        <v/>
      </c>
      <c r="E11" s="688" t="s">
        <v>965</v>
      </c>
      <c r="F11" s="683"/>
      <c r="G11" s="684"/>
      <c r="H11" s="610"/>
      <c r="I11" s="279"/>
    </row>
    <row r="12" spans="1:17" ht="15" customHeight="1" x14ac:dyDescent="0.2">
      <c r="A12" s="12"/>
      <c r="B12" s="611" t="s">
        <v>820</v>
      </c>
      <c r="C12" s="565"/>
      <c r="D12" s="760" t="str">
        <f>IF(C12&lt;&gt;"",IF(Tabelle1!I13="gültig","OK","e-mail address not correct"),"")</f>
        <v/>
      </c>
      <c r="E12" s="687"/>
      <c r="F12" s="610"/>
      <c r="G12" s="610"/>
      <c r="H12" s="610"/>
      <c r="I12" s="279"/>
    </row>
    <row r="13" spans="1:17" ht="15" customHeight="1" x14ac:dyDescent="0.2">
      <c r="A13" s="444">
        <f>IF(COUNTBLANK(AP_Vertrag)&gt;0,0,IF(D12="e-mail address not correct",0,1))</f>
        <v>0</v>
      </c>
      <c r="B13" s="612" t="s">
        <v>840</v>
      </c>
      <c r="C13" s="557"/>
      <c r="D13" s="759" t="str">
        <f t="shared" si="0"/>
        <v/>
      </c>
      <c r="E13" s="284"/>
      <c r="F13" s="613"/>
      <c r="G13" s="610"/>
      <c r="H13" s="610"/>
      <c r="I13" s="279"/>
    </row>
    <row r="14" spans="1:17" ht="6.75" customHeight="1" x14ac:dyDescent="0.2">
      <c r="A14" s="285"/>
      <c r="B14" s="285"/>
      <c r="C14" s="285"/>
      <c r="D14" s="286"/>
      <c r="F14" s="366"/>
      <c r="G14" s="366"/>
      <c r="H14" s="366"/>
      <c r="I14" s="279"/>
    </row>
    <row r="15" spans="1:17" ht="15" customHeight="1" x14ac:dyDescent="0.3">
      <c r="A15" s="271"/>
      <c r="B15" s="1004" t="s">
        <v>821</v>
      </c>
      <c r="C15" s="1005"/>
      <c r="D15" s="390" t="s">
        <v>793</v>
      </c>
      <c r="E15" s="1008" t="s">
        <v>827</v>
      </c>
      <c r="F15" s="1008"/>
      <c r="G15" s="610"/>
      <c r="H15" s="610"/>
      <c r="I15" s="279"/>
    </row>
    <row r="16" spans="1:17" ht="15" customHeight="1" x14ac:dyDescent="0.2">
      <c r="A16" s="118" t="str">
        <f>IF(C20="","data are requested"," ")</f>
        <v>data are requested</v>
      </c>
      <c r="B16" s="774" t="s">
        <v>1026</v>
      </c>
      <c r="C16" s="551"/>
      <c r="D16" s="758" t="str">
        <f>IF(C16&lt;&gt;"",IF(G16=1,"OK","use only selection list for filling"),"")</f>
        <v/>
      </c>
      <c r="E16" s="1008"/>
      <c r="F16" s="1008"/>
      <c r="G16" s="610">
        <f>IF(C16="Mr",1,IF(C16="Mrs",1,0))</f>
        <v>0</v>
      </c>
      <c r="H16" s="610"/>
      <c r="I16" s="279"/>
    </row>
    <row r="17" spans="1:17" ht="15" customHeight="1" x14ac:dyDescent="0.2">
      <c r="B17" s="611" t="s">
        <v>817</v>
      </c>
      <c r="C17" s="686"/>
      <c r="D17" s="761"/>
      <c r="E17" s="1008"/>
      <c r="F17" s="1008"/>
      <c r="G17" s="610"/>
      <c r="H17" s="610"/>
      <c r="I17" s="279"/>
    </row>
    <row r="18" spans="1:17" ht="15" customHeight="1" x14ac:dyDescent="0.2">
      <c r="A18" s="12"/>
      <c r="B18" s="611" t="s">
        <v>818</v>
      </c>
      <c r="C18" s="686"/>
      <c r="D18" s="761"/>
      <c r="E18" s="1008"/>
      <c r="F18" s="1008"/>
      <c r="G18" s="610"/>
      <c r="H18" s="610"/>
      <c r="I18" s="279"/>
    </row>
    <row r="19" spans="1:17" ht="15" customHeight="1" x14ac:dyDescent="0.2">
      <c r="A19" s="12"/>
      <c r="B19" s="611" t="s">
        <v>819</v>
      </c>
      <c r="C19" s="689"/>
      <c r="D19" s="762"/>
      <c r="E19" s="1008"/>
      <c r="F19" s="1008"/>
      <c r="G19" s="610"/>
      <c r="H19" s="610"/>
      <c r="I19" s="279"/>
    </row>
    <row r="20" spans="1:17" ht="15" customHeight="1" x14ac:dyDescent="0.2">
      <c r="A20" s="12"/>
      <c r="B20" s="611" t="s">
        <v>820</v>
      </c>
      <c r="C20" s="562"/>
      <c r="D20" s="763" t="str">
        <f>IF(C20&lt;&gt;"",IF(Tabelle1!J13="gültig","OK","e-mail address not correct"),"")</f>
        <v/>
      </c>
      <c r="E20" s="614"/>
      <c r="F20" s="614"/>
      <c r="G20" s="610"/>
      <c r="H20" s="610"/>
      <c r="I20" s="279"/>
    </row>
    <row r="21" spans="1:17" ht="18" customHeight="1" x14ac:dyDescent="0.2">
      <c r="A21" s="444">
        <f>IF(B52="nicht belegt",1,IF(D20="e-mail address not correct",0,IF(E21="Kontaktdaten des technischen Ansprechpartners vervollständigen",0,1)))</f>
        <v>1</v>
      </c>
      <c r="B21" s="612" t="s">
        <v>840</v>
      </c>
      <c r="C21" s="690"/>
      <c r="D21" s="761"/>
      <c r="E21" s="1009" t="str">
        <f>IF(B52="belegt",IF(COUNTBLANK(C16:C20)&gt;0,"please complete the contact data of contact",""),"")</f>
        <v/>
      </c>
      <c r="F21" s="1009"/>
      <c r="G21" s="1009"/>
      <c r="H21" s="1009"/>
      <c r="I21" s="279"/>
    </row>
    <row r="22" spans="1:17" ht="6" customHeight="1" x14ac:dyDescent="0.2">
      <c r="A22" s="285"/>
      <c r="B22" s="285"/>
      <c r="C22" s="285"/>
      <c r="D22" s="286"/>
      <c r="E22" s="357"/>
      <c r="F22" s="615"/>
      <c r="G22" s="616"/>
      <c r="H22" s="616"/>
    </row>
    <row r="23" spans="1:17" ht="0.75" customHeight="1" x14ac:dyDescent="0.2">
      <c r="A23" s="271"/>
      <c r="B23" s="271"/>
      <c r="C23" s="294"/>
      <c r="D23" s="119"/>
      <c r="F23" s="617"/>
      <c r="G23" s="485"/>
      <c r="H23" s="485"/>
    </row>
    <row r="24" spans="1:17" ht="15" customHeight="1" x14ac:dyDescent="0.3">
      <c r="A24" s="271"/>
      <c r="B24" s="1004" t="s">
        <v>822</v>
      </c>
      <c r="C24" s="1005"/>
      <c r="D24" s="390" t="s">
        <v>793</v>
      </c>
      <c r="E24" s="1008" t="s">
        <v>826</v>
      </c>
      <c r="F24" s="1008"/>
      <c r="G24" s="610"/>
      <c r="H24" s="610"/>
      <c r="I24" s="275"/>
      <c r="J24" s="276"/>
      <c r="K24" s="276"/>
      <c r="L24" s="276"/>
      <c r="M24" s="276"/>
      <c r="N24" s="276"/>
      <c r="O24" s="276"/>
      <c r="P24" s="276"/>
      <c r="Q24" s="276"/>
    </row>
    <row r="25" spans="1:17" ht="15" customHeight="1" x14ac:dyDescent="0.2">
      <c r="A25" s="118" t="str">
        <f>IF(C29="","data are requested"," ")</f>
        <v>data are requested</v>
      </c>
      <c r="B25" s="774" t="s">
        <v>1026</v>
      </c>
      <c r="C25" s="551"/>
      <c r="D25" s="764" t="str">
        <f>IF(C25&lt;&gt;"",IF(G25=1,"OK",""),"")</f>
        <v/>
      </c>
      <c r="E25" s="1008"/>
      <c r="F25" s="1008"/>
      <c r="G25" s="610">
        <f>IF(C25="Mr",1,IF(C25="Mrs",1,0))</f>
        <v>0</v>
      </c>
      <c r="H25" s="610"/>
      <c r="I25" s="275"/>
      <c r="J25" s="276"/>
      <c r="K25" s="276"/>
      <c r="L25" s="276"/>
      <c r="M25" s="276"/>
      <c r="N25" s="276"/>
      <c r="O25" s="276"/>
      <c r="P25" s="276"/>
      <c r="Q25" s="276"/>
    </row>
    <row r="26" spans="1:17" ht="15" customHeight="1" x14ac:dyDescent="0.2">
      <c r="B26" s="611" t="s">
        <v>817</v>
      </c>
      <c r="C26" s="686"/>
      <c r="D26" s="761"/>
      <c r="E26" s="1008"/>
      <c r="F26" s="1008"/>
      <c r="G26" s="610"/>
      <c r="H26" s="610"/>
      <c r="I26" s="275"/>
      <c r="J26" s="276"/>
      <c r="K26" s="276"/>
      <c r="L26" s="276"/>
      <c r="M26" s="276"/>
      <c r="N26" s="276"/>
      <c r="O26" s="276"/>
      <c r="P26" s="276"/>
      <c r="Q26" s="276"/>
    </row>
    <row r="27" spans="1:17" ht="15" customHeight="1" x14ac:dyDescent="0.2">
      <c r="A27" s="12"/>
      <c r="B27" s="611" t="s">
        <v>818</v>
      </c>
      <c r="C27" s="686"/>
      <c r="D27" s="761"/>
      <c r="E27" s="1008"/>
      <c r="F27" s="1008"/>
      <c r="G27" s="610"/>
      <c r="H27" s="610"/>
      <c r="I27" s="275"/>
      <c r="J27" s="276"/>
      <c r="K27" s="276"/>
      <c r="L27" s="276"/>
      <c r="M27" s="276"/>
      <c r="N27" s="276"/>
      <c r="O27" s="276"/>
      <c r="P27" s="276"/>
      <c r="Q27" s="276"/>
    </row>
    <row r="28" spans="1:17" ht="15" customHeight="1" x14ac:dyDescent="0.2">
      <c r="A28" s="12"/>
      <c r="B28" s="611" t="s">
        <v>819</v>
      </c>
      <c r="C28" s="689"/>
      <c r="D28" s="762"/>
      <c r="E28" s="273"/>
      <c r="F28" s="610"/>
      <c r="G28" s="610"/>
      <c r="H28" s="610"/>
      <c r="I28" s="275"/>
      <c r="J28" s="276"/>
      <c r="K28" s="276"/>
      <c r="L28" s="276"/>
      <c r="M28" s="276"/>
      <c r="N28" s="276"/>
      <c r="O28" s="276"/>
      <c r="P28" s="276"/>
      <c r="Q28" s="276"/>
    </row>
    <row r="29" spans="1:17" ht="15" customHeight="1" x14ac:dyDescent="0.2">
      <c r="A29" s="12"/>
      <c r="B29" s="611" t="s">
        <v>820</v>
      </c>
      <c r="C29" s="562"/>
      <c r="D29" s="763" t="str">
        <f>IF(C29&lt;&gt;"",IF(Tabelle1!K13="gültig","OK","e-mail address not correct"),"")</f>
        <v/>
      </c>
      <c r="E29" s="273"/>
      <c r="F29" s="610"/>
      <c r="G29" s="610"/>
      <c r="H29" s="610"/>
      <c r="I29" s="275"/>
      <c r="J29" s="276"/>
      <c r="K29" s="276"/>
      <c r="L29" s="276"/>
      <c r="M29" s="276"/>
      <c r="N29" s="276"/>
      <c r="O29" s="276"/>
      <c r="P29" s="276"/>
      <c r="Q29" s="276"/>
    </row>
    <row r="30" spans="1:17" ht="18" customHeight="1" x14ac:dyDescent="0.2">
      <c r="A30" s="444">
        <f>IF(B54="nicht belegt",1,IF(D29="e-mail address not correct",0,IF(E30="please complete the contact data of contact",0,1)))</f>
        <v>1</v>
      </c>
      <c r="B30" s="612" t="s">
        <v>840</v>
      </c>
      <c r="C30" s="530"/>
      <c r="D30" s="761"/>
      <c r="E30" s="1009" t="str">
        <f>IF(B54="belegt",IF(COUNTBLANK(C25:C29)&gt;0,"please complete the contact data of contact",""),"")</f>
        <v/>
      </c>
      <c r="F30" s="1009"/>
      <c r="G30" s="1009"/>
      <c r="H30" s="610"/>
      <c r="I30" s="275"/>
      <c r="J30" s="276"/>
      <c r="K30" s="276"/>
      <c r="L30" s="276"/>
      <c r="M30" s="276"/>
      <c r="N30" s="276"/>
      <c r="O30" s="276"/>
      <c r="P30" s="276"/>
      <c r="Q30" s="276"/>
    </row>
    <row r="31" spans="1:17" ht="8.25" customHeight="1" x14ac:dyDescent="0.2">
      <c r="A31" s="271"/>
      <c r="B31" s="271"/>
      <c r="C31" s="294"/>
      <c r="D31" s="119"/>
      <c r="E31" s="357"/>
      <c r="F31" s="615"/>
      <c r="G31" s="618"/>
      <c r="H31" s="618"/>
    </row>
    <row r="32" spans="1:17" ht="61.5" customHeight="1" x14ac:dyDescent="0.2">
      <c r="A32" s="445"/>
      <c r="B32" s="1006" t="s">
        <v>823</v>
      </c>
      <c r="C32" s="1007"/>
      <c r="D32" s="391" t="s">
        <v>793</v>
      </c>
      <c r="E32" s="273" t="s">
        <v>824</v>
      </c>
      <c r="F32" s="610"/>
      <c r="G32" s="610"/>
      <c r="H32" s="610"/>
      <c r="I32" s="275"/>
      <c r="J32" s="276"/>
      <c r="K32" s="276"/>
      <c r="L32" s="276"/>
      <c r="M32" s="276"/>
      <c r="N32" s="276"/>
      <c r="O32" s="276"/>
      <c r="P32" s="276"/>
      <c r="Q32" s="276"/>
    </row>
    <row r="33" spans="1:17" ht="15" customHeight="1" x14ac:dyDescent="0.2">
      <c r="A33" s="118" t="str">
        <f>IF(C37="","optional entry"," ")</f>
        <v>optional entry</v>
      </c>
      <c r="B33" s="774" t="s">
        <v>1026</v>
      </c>
      <c r="C33" s="551"/>
      <c r="D33" s="761"/>
      <c r="E33" s="273"/>
      <c r="F33" s="610"/>
      <c r="G33" s="610"/>
      <c r="H33" s="610"/>
      <c r="I33" s="275"/>
      <c r="J33" s="276"/>
      <c r="K33" s="276"/>
      <c r="L33" s="276"/>
      <c r="M33" s="276"/>
      <c r="N33" s="276"/>
      <c r="O33" s="276"/>
      <c r="P33" s="276"/>
      <c r="Q33" s="276"/>
    </row>
    <row r="34" spans="1:17" ht="15" customHeight="1" x14ac:dyDescent="0.2">
      <c r="A34" s="12"/>
      <c r="B34" s="611" t="s">
        <v>817</v>
      </c>
      <c r="C34" s="552"/>
      <c r="D34" s="761"/>
      <c r="E34" s="273"/>
      <c r="F34" s="610"/>
      <c r="G34" s="610"/>
      <c r="H34" s="610"/>
      <c r="I34" s="275"/>
      <c r="J34" s="276"/>
      <c r="K34" s="276"/>
      <c r="L34" s="276"/>
      <c r="M34" s="276"/>
      <c r="N34" s="276"/>
      <c r="O34" s="276"/>
      <c r="P34" s="276"/>
      <c r="Q34" s="276"/>
    </row>
    <row r="35" spans="1:17" ht="15" customHeight="1" x14ac:dyDescent="0.2">
      <c r="A35" s="619"/>
      <c r="B35" s="611" t="s">
        <v>818</v>
      </c>
      <c r="C35" s="552"/>
      <c r="D35" s="761"/>
      <c r="E35" s="273"/>
      <c r="F35" s="610"/>
      <c r="G35" s="610"/>
      <c r="H35" s="610"/>
      <c r="I35" s="275"/>
      <c r="J35" s="276"/>
      <c r="K35" s="276"/>
      <c r="L35" s="276"/>
      <c r="M35" s="276"/>
      <c r="N35" s="276"/>
      <c r="O35" s="276"/>
      <c r="P35" s="276"/>
      <c r="Q35" s="276"/>
    </row>
    <row r="36" spans="1:17" ht="15" customHeight="1" x14ac:dyDescent="0.2">
      <c r="A36" s="619"/>
      <c r="B36" s="611" t="s">
        <v>819</v>
      </c>
      <c r="C36" s="553"/>
      <c r="D36" s="762"/>
      <c r="E36" s="273"/>
      <c r="F36" s="610"/>
      <c r="G36" s="610"/>
      <c r="H36" s="610"/>
      <c r="I36" s="275"/>
      <c r="J36" s="276"/>
      <c r="K36" s="276"/>
      <c r="L36" s="276"/>
      <c r="M36" s="276"/>
      <c r="N36" s="276"/>
      <c r="O36" s="276"/>
      <c r="P36" s="276"/>
      <c r="Q36" s="276"/>
    </row>
    <row r="37" spans="1:17" ht="15" customHeight="1" x14ac:dyDescent="0.2">
      <c r="A37" s="620">
        <f>B55</f>
        <v>1</v>
      </c>
      <c r="B37" s="621" t="s">
        <v>820</v>
      </c>
      <c r="C37" s="557"/>
      <c r="D37" s="765" t="str">
        <f>IF(C37&lt;&gt;"",IF(Tabelle1!L13="gültig","OK","e-mail address not correct"),"")</f>
        <v/>
      </c>
      <c r="E37" s="273"/>
      <c r="F37" s="610"/>
      <c r="G37" s="610"/>
      <c r="H37" s="610"/>
      <c r="I37" s="275"/>
      <c r="J37" s="276"/>
      <c r="K37" s="276"/>
      <c r="L37" s="276"/>
      <c r="M37" s="276"/>
      <c r="N37" s="276"/>
      <c r="O37" s="276"/>
      <c r="P37" s="276"/>
      <c r="Q37" s="276"/>
    </row>
    <row r="38" spans="1:17" ht="2.25" customHeight="1" x14ac:dyDescent="0.2">
      <c r="A38" s="285"/>
      <c r="B38" s="285"/>
      <c r="C38" s="285"/>
      <c r="D38" s="286"/>
      <c r="E38" s="297"/>
      <c r="F38" s="622"/>
      <c r="G38" s="616"/>
      <c r="H38" s="623"/>
      <c r="I38" s="276"/>
      <c r="J38" s="276"/>
      <c r="K38" s="276"/>
      <c r="L38" s="276"/>
      <c r="M38" s="276"/>
      <c r="N38" s="276"/>
      <c r="O38" s="276"/>
      <c r="P38" s="276"/>
      <c r="Q38" s="276"/>
    </row>
    <row r="39" spans="1:17" ht="3" hidden="1" customHeight="1" x14ac:dyDescent="0.2"/>
    <row r="40" spans="1:17" s="624" customFormat="1" ht="32.25" customHeight="1" x14ac:dyDescent="0.25">
      <c r="B40" s="625" t="s">
        <v>825</v>
      </c>
      <c r="D40" s="626"/>
      <c r="E40" s="627"/>
      <c r="F40" s="628"/>
      <c r="G40" s="628"/>
      <c r="H40" s="629"/>
    </row>
    <row r="41" spans="1:17" x14ac:dyDescent="0.2">
      <c r="E41" s="31"/>
      <c r="F41" s="536"/>
    </row>
    <row r="42" spans="1:17" x14ac:dyDescent="0.2">
      <c r="D42" s="31"/>
      <c r="F42" s="536"/>
    </row>
    <row r="43" spans="1:17" s="536" customFormat="1" x14ac:dyDescent="0.2">
      <c r="D43" s="364"/>
      <c r="E43" s="366"/>
      <c r="F43" s="365"/>
      <c r="G43" s="510"/>
      <c r="H43" s="510"/>
    </row>
    <row r="44" spans="1:17" s="536" customFormat="1" x14ac:dyDescent="0.2">
      <c r="D44" s="364"/>
      <c r="E44" s="366"/>
      <c r="F44" s="365">
        <f>IF(F2="OK, next step",100,0)</f>
        <v>0</v>
      </c>
      <c r="G44" s="510"/>
      <c r="H44" s="510"/>
    </row>
    <row r="45" spans="1:17" s="536" customFormat="1" x14ac:dyDescent="0.2">
      <c r="D45" s="364"/>
      <c r="E45" s="366"/>
      <c r="F45" s="365"/>
      <c r="G45" s="510"/>
      <c r="H45" s="510"/>
    </row>
    <row r="46" spans="1:17" s="536" customFormat="1" x14ac:dyDescent="0.2">
      <c r="D46" s="364"/>
      <c r="E46" s="366"/>
      <c r="F46" s="365"/>
      <c r="G46" s="510"/>
      <c r="H46" s="510"/>
    </row>
    <row r="47" spans="1:17" s="536" customFormat="1" x14ac:dyDescent="0.2">
      <c r="D47" s="364"/>
      <c r="E47" s="366"/>
      <c r="F47" s="365"/>
      <c r="G47" s="510"/>
      <c r="H47" s="510"/>
    </row>
    <row r="48" spans="1:17" s="536" customFormat="1" x14ac:dyDescent="0.2">
      <c r="D48" s="364"/>
      <c r="E48" s="366"/>
      <c r="F48" s="365"/>
      <c r="G48" s="510"/>
      <c r="H48" s="510"/>
    </row>
    <row r="49" spans="1:8" s="536" customFormat="1" x14ac:dyDescent="0.2">
      <c r="D49" s="364"/>
      <c r="E49" s="366"/>
      <c r="F49" s="365"/>
      <c r="G49" s="510"/>
      <c r="H49" s="510"/>
    </row>
    <row r="50" spans="1:8" s="536" customFormat="1" x14ac:dyDescent="0.2">
      <c r="D50" s="364"/>
      <c r="E50" s="366"/>
      <c r="F50" s="365"/>
      <c r="G50" s="510"/>
      <c r="H50" s="510"/>
    </row>
    <row r="51" spans="1:8" s="536" customFormat="1" ht="42.75" x14ac:dyDescent="0.2">
      <c r="A51" s="367" t="s">
        <v>776</v>
      </c>
      <c r="B51" s="536">
        <f>IF(D20="Email Adresse fehlerhaft, Eintrag korrigieren",100,0)</f>
        <v>0</v>
      </c>
      <c r="D51" s="364"/>
      <c r="E51" s="366"/>
      <c r="F51" s="365"/>
      <c r="G51" s="510"/>
      <c r="H51" s="510"/>
    </row>
    <row r="52" spans="1:8" s="536" customFormat="1" ht="21.75" x14ac:dyDescent="0.2">
      <c r="A52" s="367" t="s">
        <v>779</v>
      </c>
      <c r="B52" s="536" t="str">
        <f>IF(COUNTBLANK(C16:C20)&gt;4,"nicht belegt","belegt")</f>
        <v>nicht belegt</v>
      </c>
      <c r="C52" s="368">
        <f>IF(B52="nicht belegt",0,1)</f>
        <v>0</v>
      </c>
      <c r="D52" s="364"/>
      <c r="E52" s="366"/>
      <c r="F52" s="365"/>
      <c r="G52" s="510"/>
      <c r="H52" s="510"/>
    </row>
    <row r="53" spans="1:8" s="536" customFormat="1" ht="42.75" x14ac:dyDescent="0.2">
      <c r="A53" s="367" t="s">
        <v>777</v>
      </c>
      <c r="B53" s="536">
        <f>IF(D29="Email Adresse fehlerhaft, Eintrag korrigieren",100,0)</f>
        <v>0</v>
      </c>
      <c r="D53" s="364"/>
      <c r="E53" s="366"/>
      <c r="F53" s="365"/>
      <c r="G53" s="510"/>
      <c r="H53" s="510"/>
    </row>
    <row r="54" spans="1:8" s="536" customFormat="1" ht="21.75" x14ac:dyDescent="0.2">
      <c r="A54" s="367" t="s">
        <v>780</v>
      </c>
      <c r="B54" s="536" t="str">
        <f>IF(COUNTBLANK(C25:C29)&gt;4,"nicht belegt","belegt")</f>
        <v>nicht belegt</v>
      </c>
      <c r="C54" s="368">
        <f>IF(B54="nicht belegt",0,1)</f>
        <v>0</v>
      </c>
      <c r="D54" s="364"/>
      <c r="E54" s="366"/>
      <c r="F54" s="365"/>
      <c r="G54" s="510"/>
      <c r="H54" s="510"/>
    </row>
    <row r="55" spans="1:8" s="536" customFormat="1" ht="42.75" x14ac:dyDescent="0.2">
      <c r="A55" s="367" t="s">
        <v>778</v>
      </c>
      <c r="B55" s="536">
        <f>IF(D37="Email Adresse fehlerhaft, Eintrag korrigieren",0,1)</f>
        <v>1</v>
      </c>
      <c r="D55" s="364"/>
      <c r="E55" s="366"/>
      <c r="F55" s="365"/>
      <c r="G55" s="510"/>
      <c r="H55" s="510"/>
    </row>
    <row r="56" spans="1:8" s="536" customFormat="1" x14ac:dyDescent="0.2">
      <c r="D56" s="364"/>
      <c r="E56" s="366"/>
      <c r="F56" s="365"/>
      <c r="G56" s="510"/>
      <c r="H56" s="510"/>
    </row>
    <row r="57" spans="1:8" s="536" customFormat="1" x14ac:dyDescent="0.2">
      <c r="D57" s="364"/>
      <c r="E57" s="366"/>
      <c r="F57" s="365"/>
      <c r="G57" s="510"/>
      <c r="H57" s="510"/>
    </row>
    <row r="58" spans="1:8" s="536" customFormat="1" x14ac:dyDescent="0.2">
      <c r="D58" s="364"/>
      <c r="E58" s="366"/>
      <c r="F58" s="365"/>
      <c r="G58" s="510"/>
      <c r="H58" s="510"/>
    </row>
    <row r="59" spans="1:8" s="536" customFormat="1" x14ac:dyDescent="0.2">
      <c r="D59" s="364"/>
      <c r="E59" s="366"/>
      <c r="F59" s="365"/>
      <c r="G59" s="510"/>
      <c r="H59" s="510"/>
    </row>
    <row r="60" spans="1:8" s="536" customFormat="1" x14ac:dyDescent="0.2">
      <c r="D60" s="364"/>
      <c r="E60" s="366"/>
      <c r="F60" s="365"/>
      <c r="G60" s="510"/>
      <c r="H60" s="510"/>
    </row>
    <row r="61" spans="1:8" s="536" customFormat="1" x14ac:dyDescent="0.2">
      <c r="D61" s="364"/>
      <c r="E61" s="366"/>
      <c r="F61" s="365"/>
      <c r="G61" s="510"/>
      <c r="H61" s="510"/>
    </row>
    <row r="62" spans="1:8" s="536" customFormat="1" x14ac:dyDescent="0.2">
      <c r="D62" s="364"/>
      <c r="E62" s="366"/>
      <c r="F62" s="365"/>
      <c r="G62" s="510"/>
      <c r="H62" s="510"/>
    </row>
    <row r="63" spans="1:8" s="536" customFormat="1" x14ac:dyDescent="0.2">
      <c r="D63" s="364"/>
      <c r="E63" s="366"/>
      <c r="F63" s="365"/>
      <c r="G63" s="510"/>
      <c r="H63" s="510"/>
    </row>
    <row r="64" spans="1:8" s="536" customFormat="1" x14ac:dyDescent="0.2">
      <c r="D64" s="364"/>
      <c r="E64" s="366"/>
      <c r="F64" s="365"/>
      <c r="G64" s="510"/>
      <c r="H64" s="510"/>
    </row>
    <row r="74" ht="15" customHeight="1" x14ac:dyDescent="0.2"/>
  </sheetData>
  <sheetProtection algorithmName="SHA-512" hashValue="5ZfWtQZieH3lkr/oHUA0XzxJdSaWZPoYpatHHwGmuXRZBgukWzEMap1g/WCOxz1Cws/Hc26kAvPGD/CMW6SnoQ==" saltValue="/TLzL7m9ctjBA3ahGzEzqQ==" spinCount="100000" sheet="1" formatCells="0"/>
  <mergeCells count="11">
    <mergeCell ref="A5:F5"/>
    <mergeCell ref="B7:C7"/>
    <mergeCell ref="B15:C15"/>
    <mergeCell ref="B24:C24"/>
    <mergeCell ref="B32:C32"/>
    <mergeCell ref="E24:F27"/>
    <mergeCell ref="E21:H21"/>
    <mergeCell ref="E15:F18"/>
    <mergeCell ref="E19:F19"/>
    <mergeCell ref="E30:G30"/>
    <mergeCell ref="E7:F10"/>
  </mergeCells>
  <conditionalFormatting sqref="A7">
    <cfRule type="expression" dxfId="651" priority="31">
      <formula>$C$13=""</formula>
    </cfRule>
  </conditionalFormatting>
  <conditionalFormatting sqref="A15">
    <cfRule type="expression" dxfId="650" priority="30">
      <formula>$C$21=""</formula>
    </cfRule>
  </conditionalFormatting>
  <conditionalFormatting sqref="A24">
    <cfRule type="expression" dxfId="649" priority="29">
      <formula>$C$30=""</formula>
    </cfRule>
  </conditionalFormatting>
  <conditionalFormatting sqref="C8:C12">
    <cfRule type="containsBlanks" dxfId="648" priority="33">
      <formula>LEN(TRIM(C8))=0</formula>
    </cfRule>
  </conditionalFormatting>
  <conditionalFormatting sqref="A32">
    <cfRule type="expression" dxfId="647" priority="27">
      <formula>$C$37=""</formula>
    </cfRule>
  </conditionalFormatting>
  <conditionalFormatting sqref="D8:D13">
    <cfRule type="cellIs" dxfId="646" priority="26" operator="equal">
      <formula>"OK"</formula>
    </cfRule>
  </conditionalFormatting>
  <conditionalFormatting sqref="D8">
    <cfRule type="cellIs" dxfId="645" priority="25" operator="equal">
      <formula>"use only selection list for filling"</formula>
    </cfRule>
  </conditionalFormatting>
  <conditionalFormatting sqref="D16">
    <cfRule type="cellIs" dxfId="644" priority="24" operator="equal">
      <formula>"OK"</formula>
    </cfRule>
  </conditionalFormatting>
  <conditionalFormatting sqref="D16">
    <cfRule type="cellIs" dxfId="643" priority="23" operator="equal">
      <formula>"use only selection list for filling"</formula>
    </cfRule>
  </conditionalFormatting>
  <conditionalFormatting sqref="D25">
    <cfRule type="cellIs" dxfId="642" priority="22" operator="equal">
      <formula>"OK"</formula>
    </cfRule>
  </conditionalFormatting>
  <conditionalFormatting sqref="D25">
    <cfRule type="cellIs" dxfId="641" priority="21" operator="equal">
      <formula>"use only selection list for filling"</formula>
    </cfRule>
  </conditionalFormatting>
  <conditionalFormatting sqref="B7:C7">
    <cfRule type="expression" dxfId="640" priority="20">
      <formula>COUNTBLANK($C$8:$C$13)&gt;0</formula>
    </cfRule>
  </conditionalFormatting>
  <conditionalFormatting sqref="B15:C15">
    <cfRule type="expression" dxfId="639" priority="19">
      <formula>COUNTBLANK($C$16:$C$21)&gt;0</formula>
    </cfRule>
  </conditionalFormatting>
  <conditionalFormatting sqref="B24:C24">
    <cfRule type="expression" dxfId="638" priority="18">
      <formula>COUNTBLANK($C$25:$C$30)&gt;0</formula>
    </cfRule>
  </conditionalFormatting>
  <conditionalFormatting sqref="C12">
    <cfRule type="expression" dxfId="637" priority="17">
      <formula>$D$12="e-mail address not correct"</formula>
    </cfRule>
  </conditionalFormatting>
  <conditionalFormatting sqref="D12">
    <cfRule type="cellIs" dxfId="636" priority="16" operator="equal">
      <formula>"e-mail address not correct"</formula>
    </cfRule>
  </conditionalFormatting>
  <conditionalFormatting sqref="C13">
    <cfRule type="containsBlanks" dxfId="635" priority="15">
      <formula>LEN(TRIM(C13))=0</formula>
    </cfRule>
  </conditionalFormatting>
  <conditionalFormatting sqref="D20">
    <cfRule type="cellIs" dxfId="634" priority="14" operator="equal">
      <formula>"OK"</formula>
    </cfRule>
  </conditionalFormatting>
  <conditionalFormatting sqref="D20">
    <cfRule type="cellIs" dxfId="633" priority="13" operator="equal">
      <formula>"e-mail address not correct"</formula>
    </cfRule>
  </conditionalFormatting>
  <conditionalFormatting sqref="E21:H21">
    <cfRule type="cellIs" dxfId="632" priority="12" operator="equal">
      <formula>"please complete the contact data of contact"</formula>
    </cfRule>
  </conditionalFormatting>
  <conditionalFormatting sqref="E24:F27">
    <cfRule type="expression" dxfId="631" priority="9">
      <formula>$B$54="belegt"</formula>
    </cfRule>
    <cfRule type="expression" dxfId="630" priority="11">
      <formula>$E$21="please complete the contact data of contact"</formula>
    </cfRule>
  </conditionalFormatting>
  <conditionalFormatting sqref="E15:F19">
    <cfRule type="expression" dxfId="629" priority="7">
      <formula>$B$52="belegt"</formula>
    </cfRule>
    <cfRule type="expression" dxfId="628" priority="8">
      <formula>$E$21="please complete the contact data of technical contact"</formula>
    </cfRule>
  </conditionalFormatting>
  <conditionalFormatting sqref="D29">
    <cfRule type="cellIs" dxfId="627" priority="6" operator="equal">
      <formula>"OK"</formula>
    </cfRule>
  </conditionalFormatting>
  <conditionalFormatting sqref="D29">
    <cfRule type="cellIs" dxfId="626" priority="5" operator="equal">
      <formula>"e-mail address not correct"</formula>
    </cfRule>
  </conditionalFormatting>
  <conditionalFormatting sqref="E30:G30">
    <cfRule type="cellIs" dxfId="625" priority="4" operator="equal">
      <formula>"please complete the contact data of contact"</formula>
    </cfRule>
  </conditionalFormatting>
  <conditionalFormatting sqref="D37">
    <cfRule type="cellIs" dxfId="624" priority="3" operator="equal">
      <formula>"e-mail address not correct"</formula>
    </cfRule>
  </conditionalFormatting>
  <conditionalFormatting sqref="G3">
    <cfRule type="cellIs" dxfId="623" priority="2" operator="equal">
      <formula>"Please check if further contacts can be named"</formula>
    </cfRule>
  </conditionalFormatting>
  <conditionalFormatting sqref="A5:F5">
    <cfRule type="expression" dxfId="622" priority="1">
      <formula>$F$2="OK, next step"</formula>
    </cfRule>
  </conditionalFormatting>
  <dataValidations count="4">
    <dataValidation allowBlank="1" showInputMessage="1" showErrorMessage="1" prompt="additional contact for information about maintenance, incidents and requests for configuration_x000a__x000a_communication exclusively by e-mail_x000a__x000a_role is not individual-related; e.g. group mailboxes, hotline contacts or others can perform the task" sqref="B32:C32" xr:uid="{00000000-0002-0000-0200-000000000000}"/>
    <dataValidation allowBlank="1" showInputMessage="1" showErrorMessage="1" prompt="contact for coordination of accounting and delivery of invoice_x000a__x000a_contact will be named on invoices_x000a__x000a_In case of missing data the role will be carried out by the contact for contract." sqref="B24:C24" xr:uid="{00000000-0002-0000-0200-000001000000}"/>
    <dataValidation allowBlank="1" showInputMessage="1" showErrorMessage="1" prompt="contact for: _x000a_coordination of technical details of the network connection, _x000a__x000a_information about technical changes, maintenance, incidents and requests for configuration_x000a__x000a_In case of missing data the role will be carried out by the contact for contract." sqref="B15:C15" xr:uid="{00000000-0002-0000-0200-000002000000}"/>
    <dataValidation allowBlank="1" showInputMessage="1" showErrorMessage="1" prompt="contact for: _x000a_coordination subject terms of contract, _x000a__x000a_conclusion and extension of confidentiality agreement with VW/Audi,_x000a__x000a_information about maintenance, incidents, changes after start-up of connection and application access_x000a__x000a_" sqref="B7:C7" xr:uid="{00000000-0002-0000-0200-000003000000}"/>
  </dataValidations>
  <hyperlinks>
    <hyperlink ref="E11" r:id="rId1" xr:uid="{00000000-0004-0000-0200-000000000000}"/>
  </hyperlinks>
  <pageMargins left="0.35" right="0.32" top="0.51181102362204722" bottom="0.43307086614173229" header="0.31496062992125984" footer="0.31496062992125984"/>
  <pageSetup paperSize="9" scale="85"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Please use selection list !" prompt="please use only selection list" xr:uid="{00000000-0002-0000-0200-000004000000}">
          <x14:formula1>
            <xm:f>Tabelle1!$B$4:$B$5</xm:f>
          </x14:formula1>
          <xm:sqref>C33 C8 C16 C25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autoPageBreaks="0"/>
  </sheetPr>
  <dimension ref="A1:BC140"/>
  <sheetViews>
    <sheetView showGridLines="0" showRowColHeaders="0" showZeros="0" zoomScaleNormal="100" workbookViewId="0">
      <selection activeCell="C6" sqref="C6"/>
    </sheetView>
  </sheetViews>
  <sheetFormatPr baseColWidth="10" defaultColWidth="9.140625" defaultRowHeight="12.75" x14ac:dyDescent="0.2"/>
  <cols>
    <col min="1" max="1" width="42.140625" style="4" customWidth="1"/>
    <col min="2" max="2" width="17.140625" style="4" customWidth="1"/>
    <col min="3" max="3" width="17.5703125" style="4" customWidth="1"/>
    <col min="4" max="4" width="44" style="4" customWidth="1"/>
    <col min="5" max="5" width="9.140625" style="4" hidden="1" customWidth="1"/>
    <col min="6" max="6" width="7.7109375" style="4" hidden="1" customWidth="1"/>
    <col min="7" max="7" width="9.140625" style="4" hidden="1" customWidth="1"/>
    <col min="8" max="8" width="7" style="4" customWidth="1"/>
    <col min="9" max="9" width="1.42578125" style="4" customWidth="1"/>
    <col min="10" max="10" width="36.7109375" style="4" customWidth="1"/>
    <col min="11" max="11" width="45.42578125" style="4" customWidth="1"/>
    <col min="12" max="12" width="3.5703125" style="500" customWidth="1"/>
    <col min="13" max="13" width="24.5703125" style="500" customWidth="1"/>
    <col min="14" max="14" width="22" style="509" customWidth="1"/>
    <col min="15" max="15" width="7.85546875" style="509" customWidth="1"/>
    <col min="16" max="16" width="29.28515625" style="509" customWidth="1"/>
    <col min="17" max="29" width="9.140625" style="509"/>
    <col min="30" max="16384" width="9.140625" style="4"/>
  </cols>
  <sheetData>
    <row r="1" spans="1:55" x14ac:dyDescent="0.2">
      <c r="A1" s="6"/>
      <c r="B1" s="6"/>
      <c r="C1" s="6"/>
      <c r="D1" s="6"/>
      <c r="E1" s="6"/>
      <c r="F1" s="6"/>
      <c r="G1" s="6"/>
      <c r="H1" s="6"/>
      <c r="I1" s="6"/>
      <c r="J1" s="6"/>
      <c r="K1" s="32"/>
      <c r="L1" s="523"/>
      <c r="M1" s="523"/>
      <c r="N1" s="511"/>
      <c r="O1" s="511"/>
    </row>
    <row r="2" spans="1:55" ht="18" x14ac:dyDescent="0.2">
      <c r="A2" s="449"/>
      <c r="B2" s="6"/>
      <c r="C2" s="6"/>
      <c r="D2" s="507" t="s">
        <v>710</v>
      </c>
      <c r="E2" s="6"/>
      <c r="F2" s="6"/>
      <c r="G2" s="6"/>
      <c r="H2" s="6"/>
      <c r="I2" s="79" t="str">
        <f>IF(COUNTBLANK($B$11:$C$28)=32,"STOP!",IF(COUNTBLANK($K$11:$K$15)&gt;0,"STOP!",IF(C10="selection of brand 1 still to be done","STOP!",IF(COUNTBLANK(C6:C7)=2,"STOP!",IF(O10=1,"STOP!",IF(COUNTBLANK(B11:B28)=18,"STOP!",IF(J3&lt;&gt;"","STOP!",IF(M15="email address incorrect, please correct","STOP!",IF(B46=2,"STOP!",IF(B47=2,"STOP!",""))))))))))</f>
        <v>STOP!</v>
      </c>
      <c r="J2" s="29"/>
      <c r="K2" s="807" t="str">
        <f>IF(I2="STOP!","",IF(I3&lt;&gt;"","","OK, next step"))</f>
        <v/>
      </c>
      <c r="M2" s="523"/>
      <c r="N2" s="511"/>
      <c r="O2" s="511"/>
    </row>
    <row r="3" spans="1:55" x14ac:dyDescent="0.2">
      <c r="A3" s="6"/>
      <c r="B3" s="6"/>
      <c r="C3" s="6"/>
      <c r="D3" s="6"/>
      <c r="E3" s="6"/>
      <c r="F3" s="6"/>
      <c r="G3" s="6"/>
      <c r="H3" s="6"/>
      <c r="I3" s="33" t="str">
        <f>IF(COUNTBLANK(C6:C7)=2,"selection of brands is missing",IF(D6="selection of brand 1 still to be done","select first brand",IF(COUNTBLANK(B11:C28)=36,"select applications",IF(O10=1,"selection of applications for -another brand- is pending",IF(COUNTBLANK(B11:B28)=18,"selection of applications for brand 1 is pending",IF(D7="CAUTION ! 2* same brand selected - correct them","same selection for both brands - brands have to be different",IF(COUNTBLANK($K$11:$K$15)&gt;0,"data contact person incomplete",IF(O13=1,"selection of -antoher brand- is missing",IF(M15="email address incorrect, please correct","email address of contact person incorrect",IF(B46=2,"selection of Audi Mynet is pending",IF(B47=2,"selection of Audi Mynet is pending","")))))))))))</f>
        <v>selection of brands is missing</v>
      </c>
      <c r="K3" s="32"/>
      <c r="L3" s="523"/>
      <c r="M3" s="523"/>
      <c r="N3" s="511"/>
      <c r="O3" s="511"/>
    </row>
    <row r="4" spans="1:55" ht="5.25" customHeight="1" x14ac:dyDescent="0.2">
      <c r="A4" s="6"/>
      <c r="B4" s="6"/>
      <c r="C4" s="6"/>
      <c r="D4" s="6"/>
      <c r="E4" s="6"/>
      <c r="F4" s="6"/>
      <c r="G4" s="6"/>
      <c r="H4" s="6"/>
      <c r="I4" s="6"/>
      <c r="J4" s="6"/>
      <c r="K4" s="32"/>
      <c r="L4" s="523"/>
      <c r="M4" s="523"/>
      <c r="N4" s="511"/>
      <c r="O4" s="511"/>
    </row>
    <row r="5" spans="1:55" s="8" customFormat="1" ht="87" customHeight="1" x14ac:dyDescent="0.2">
      <c r="A5" s="1019" t="s">
        <v>1080</v>
      </c>
      <c r="B5" s="1020"/>
      <c r="C5" s="1020"/>
      <c r="D5" s="1020"/>
      <c r="E5" s="1020"/>
      <c r="F5" s="1020"/>
      <c r="G5" s="1020"/>
      <c r="H5" s="1020"/>
      <c r="I5" s="1020"/>
      <c r="J5" s="1020"/>
      <c r="K5" s="1021"/>
      <c r="L5" s="508"/>
      <c r="M5" s="508"/>
      <c r="N5" s="485"/>
      <c r="O5" s="485"/>
      <c r="P5" s="510"/>
      <c r="Q5" s="510"/>
      <c r="R5" s="510"/>
      <c r="S5" s="510"/>
      <c r="T5" s="510"/>
      <c r="U5" s="510"/>
      <c r="V5" s="510"/>
      <c r="W5" s="510"/>
      <c r="X5" s="510"/>
      <c r="Y5" s="510"/>
      <c r="Z5" s="510"/>
      <c r="AA5" s="510"/>
      <c r="AB5" s="510"/>
      <c r="AC5" s="510"/>
    </row>
    <row r="6" spans="1:55" s="8" customFormat="1" ht="23.25" customHeight="1" x14ac:dyDescent="0.25">
      <c r="A6" s="1024" t="s">
        <v>828</v>
      </c>
      <c r="B6" s="135" t="s">
        <v>829</v>
      </c>
      <c r="C6" s="630"/>
      <c r="D6" s="132" t="str">
        <f>IF(COUNTBLANK($C$6:$C$7)=1,IF($C$6="","selection of brand 1 still to be done",""),IF(COUNTBLANK(C6:C7)=2,"select the brand 1 in the yellow higlighted area",""))</f>
        <v>select the brand 1 in the yellow higlighted area</v>
      </c>
      <c r="J6" s="826" t="s">
        <v>1078</v>
      </c>
      <c r="K6" s="948" t="s">
        <v>1134</v>
      </c>
      <c r="L6" s="506"/>
      <c r="M6" s="508"/>
      <c r="N6" s="486"/>
      <c r="O6" s="485"/>
      <c r="P6" s="510"/>
      <c r="Q6" s="510"/>
      <c r="R6" s="510"/>
      <c r="S6" s="510"/>
      <c r="T6" s="510"/>
      <c r="U6" s="510"/>
      <c r="V6" s="510"/>
      <c r="W6" s="510"/>
      <c r="X6" s="510"/>
      <c r="Y6" s="510"/>
      <c r="Z6" s="510"/>
      <c r="AA6" s="510"/>
      <c r="AB6" s="510"/>
      <c r="AC6" s="510"/>
    </row>
    <row r="7" spans="1:55" s="8" customFormat="1" ht="29.25" customHeight="1" x14ac:dyDescent="0.2">
      <c r="A7" s="1025"/>
      <c r="B7" s="136" t="s">
        <v>830</v>
      </c>
      <c r="C7" s="630"/>
      <c r="D7" s="133" t="str">
        <f>IF($C$6="","",IF($C$6=$C$7,"CAUTION ! 2* same brand selected - correct them",IF(O13=1,"selection of applications for brand 2 already done - selection of -another brand- is still pending","")))</f>
        <v/>
      </c>
      <c r="E7" s="89"/>
      <c r="F7" s="89"/>
      <c r="G7" s="89"/>
      <c r="H7" s="89"/>
      <c r="I7" s="89"/>
      <c r="J7" s="89"/>
      <c r="K7" s="88"/>
      <c r="L7" s="506"/>
      <c r="M7" s="508"/>
      <c r="N7" s="486"/>
      <c r="O7" s="485"/>
      <c r="P7" s="510"/>
      <c r="Q7" s="510"/>
      <c r="R7" s="510"/>
      <c r="S7" s="510"/>
      <c r="T7" s="510"/>
      <c r="U7" s="510"/>
      <c r="V7" s="510"/>
      <c r="W7" s="510"/>
      <c r="X7" s="510"/>
      <c r="Y7" s="510"/>
      <c r="Z7" s="510"/>
      <c r="AA7" s="510"/>
      <c r="AB7" s="510"/>
      <c r="AC7" s="510"/>
    </row>
    <row r="8" spans="1:55" s="8" customFormat="1" ht="72" customHeight="1" x14ac:dyDescent="0.2">
      <c r="A8" s="478" t="str">
        <f>IF(C6="","",IF(COUNTBLANK($B$11:$B$29)=19,"Choose applications now !",IF(COUNTBLANK($B$11:$B$29)&lt;19,"Select further applications !","")))</f>
        <v/>
      </c>
      <c r="B8" s="1016" t="s">
        <v>838</v>
      </c>
      <c r="C8" s="1017"/>
      <c r="D8" s="95" t="s">
        <v>837</v>
      </c>
      <c r="E8" s="28"/>
      <c r="F8" s="7"/>
      <c r="G8" s="7"/>
      <c r="H8" s="9"/>
      <c r="I8" s="27"/>
      <c r="J8" s="1018" t="str">
        <f>IF(C6="","","Partner company: contact for selected applications
Initially only one specialist can be named for selected applications. Further contacts can be reported informally  by e-mail.")</f>
        <v/>
      </c>
      <c r="K8" s="1018"/>
      <c r="L8" s="575" t="s">
        <v>793</v>
      </c>
      <c r="M8" s="502"/>
      <c r="N8" s="487" t="s">
        <v>684</v>
      </c>
      <c r="O8" s="485">
        <f>2-COUNTBLANK(C6:C7)</f>
        <v>0</v>
      </c>
      <c r="P8" s="510"/>
      <c r="Q8" s="510"/>
      <c r="R8" s="510"/>
      <c r="S8" s="510"/>
      <c r="T8" s="510"/>
      <c r="U8" s="510"/>
      <c r="V8" s="510"/>
      <c r="W8" s="510"/>
      <c r="X8" s="510"/>
      <c r="Y8" s="510"/>
      <c r="Z8" s="510"/>
      <c r="AA8" s="510"/>
      <c r="AB8" s="510"/>
      <c r="AC8" s="510"/>
    </row>
    <row r="9" spans="1:55" ht="10.5" hidden="1" customHeight="1" x14ac:dyDescent="0.2">
      <c r="A9" s="5"/>
      <c r="B9" s="6"/>
      <c r="C9" s="6"/>
      <c r="D9" s="6"/>
      <c r="E9" s="6"/>
      <c r="F9" s="6"/>
      <c r="G9" s="6"/>
      <c r="H9" s="6"/>
      <c r="I9" s="6"/>
      <c r="J9" s="129"/>
      <c r="K9" s="129"/>
      <c r="L9" s="501"/>
      <c r="N9" s="507"/>
      <c r="O9" s="507"/>
      <c r="P9" s="511"/>
    </row>
    <row r="10" spans="1:55" s="80" customFormat="1" ht="33" customHeight="1" thickBot="1" x14ac:dyDescent="0.25">
      <c r="A10" s="83" t="s">
        <v>831</v>
      </c>
      <c r="B10" s="476">
        <f>C6</f>
        <v>0</v>
      </c>
      <c r="C10" s="477">
        <f>IF(C7&lt;&gt;"",IF(C6="","Benennung der 1. Marke offen",C7),)</f>
        <v>0</v>
      </c>
      <c r="D10" s="827" t="s">
        <v>915</v>
      </c>
      <c r="E10" s="82"/>
      <c r="F10" s="82"/>
      <c r="G10" s="91"/>
      <c r="H10" s="84"/>
      <c r="I10" s="92"/>
      <c r="J10" s="130" t="str">
        <f>IF(COUNTBLANK(C6:C7)=0,IF(COUNTBLANK(B11:C28)&lt;34,"! Filling data",""),IF(COUNTBLANK(B11:B28)&lt;18,"! Filling data",""))</f>
        <v/>
      </c>
      <c r="K10" s="509">
        <f>IF(COUNTBLANK(C6:C7)=2,0,COUNTBLANK(K11:K15))</f>
        <v>0</v>
      </c>
      <c r="L10" s="500"/>
      <c r="M10" s="500"/>
      <c r="N10" s="487" t="s">
        <v>683</v>
      </c>
      <c r="O10" s="509">
        <f>IF(O8=2,IF(COUNTBLANK(C11:C28)=18,1,0),0)</f>
        <v>0</v>
      </c>
      <c r="P10" s="509"/>
      <c r="Q10" s="509"/>
      <c r="R10" s="509"/>
      <c r="S10" s="509"/>
      <c r="T10" s="509"/>
      <c r="U10" s="509"/>
      <c r="V10" s="509"/>
      <c r="W10" s="509"/>
      <c r="X10" s="509"/>
      <c r="Y10" s="509"/>
      <c r="Z10" s="509"/>
      <c r="AA10" s="509"/>
      <c r="AB10" s="509"/>
      <c r="AC10" s="509"/>
    </row>
    <row r="11" spans="1:55" s="15" customFormat="1" ht="26.25" customHeight="1" thickTop="1" x14ac:dyDescent="0.2">
      <c r="A11" s="24" t="s">
        <v>2</v>
      </c>
      <c r="B11" s="631"/>
      <c r="C11" s="632"/>
      <c r="D11" s="448" t="str">
        <f>IF(D49&gt;0,"recommendation of Audi Methodenkommunikation: 
additional usage of application Audi Mynet","")</f>
        <v/>
      </c>
      <c r="G11" s="93"/>
      <c r="H11" s="94"/>
      <c r="I11" s="62"/>
      <c r="J11" s="775" t="s">
        <v>1026</v>
      </c>
      <c r="K11" s="771"/>
      <c r="L11" s="570" t="str">
        <f>IF(K11&lt;&gt;"","OK","")</f>
        <v/>
      </c>
      <c r="M11" s="527"/>
      <c r="N11" s="487" t="s">
        <v>694</v>
      </c>
      <c r="O11" s="509">
        <f>IF(O8&gt;0,IF(COUNTBLANK(B11:B28)=18,1,0),0)</f>
        <v>0</v>
      </c>
      <c r="P11" s="512"/>
      <c r="Q11" s="512"/>
      <c r="R11" s="512"/>
      <c r="S11" s="512"/>
      <c r="T11" s="512"/>
      <c r="U11" s="512"/>
      <c r="V11" s="512"/>
      <c r="W11" s="512"/>
      <c r="X11" s="512"/>
      <c r="Y11" s="512"/>
      <c r="Z11" s="512"/>
      <c r="AA11" s="512"/>
      <c r="AB11" s="512"/>
      <c r="AC11" s="512"/>
    </row>
    <row r="12" spans="1:55" s="15" customFormat="1" ht="22.5" customHeight="1" x14ac:dyDescent="0.2">
      <c r="A12" s="26" t="s">
        <v>3</v>
      </c>
      <c r="B12" s="633"/>
      <c r="C12" s="634"/>
      <c r="D12" s="448" t="str">
        <f>IF(D44&gt;0,"recommendation of Audi Methodenkommunikation: 
additional usage of application Audi Mynet","")</f>
        <v/>
      </c>
      <c r="G12" s="93"/>
      <c r="H12" s="94"/>
      <c r="I12" s="62"/>
      <c r="J12" s="446" t="s">
        <v>817</v>
      </c>
      <c r="K12" s="771"/>
      <c r="L12" s="570" t="str">
        <f t="shared" ref="L12:L14" si="0">IF(K12&lt;&gt;"","OK","")</f>
        <v/>
      </c>
      <c r="M12" s="518" t="str">
        <f>IF($J$10="! Filling data",IF(K12="","entry mandatory",""),"")</f>
        <v/>
      </c>
      <c r="N12" s="487" t="s">
        <v>693</v>
      </c>
      <c r="O12" s="512">
        <f>IF(COUNTBLANK($C$6:$C$7)=1,IF($C$6="",1,0),0)</f>
        <v>0</v>
      </c>
      <c r="P12" s="512"/>
      <c r="Q12" s="512"/>
      <c r="R12" s="512"/>
      <c r="S12" s="512"/>
      <c r="T12" s="512"/>
      <c r="U12" s="512"/>
      <c r="V12" s="512"/>
      <c r="W12" s="512"/>
      <c r="X12" s="512"/>
      <c r="Y12" s="512"/>
      <c r="Z12" s="512"/>
      <c r="AA12" s="512"/>
      <c r="AB12" s="512"/>
      <c r="AC12" s="512"/>
    </row>
    <row r="13" spans="1:55" s="15" customFormat="1" ht="23.25" customHeight="1" x14ac:dyDescent="0.2">
      <c r="A13" s="25" t="s">
        <v>4</v>
      </c>
      <c r="B13" s="633"/>
      <c r="C13" s="634"/>
      <c r="D13" s="73"/>
      <c r="G13" s="93"/>
      <c r="H13" s="94"/>
      <c r="I13" s="62"/>
      <c r="J13" s="446" t="s">
        <v>818</v>
      </c>
      <c r="K13" s="771"/>
      <c r="L13" s="570" t="str">
        <f t="shared" si="0"/>
        <v/>
      </c>
      <c r="M13" s="518" t="str">
        <f>IF($J$10="! Filling data",IF(K13="","entry mandatory",""),"")</f>
        <v/>
      </c>
      <c r="N13" s="488" t="s">
        <v>695</v>
      </c>
      <c r="O13" s="484">
        <f>IF(O8=1,IF(COUNTBLANK(C11:C28)&lt;18,1,0),0)</f>
        <v>0</v>
      </c>
      <c r="P13" s="513"/>
      <c r="Q13" s="513"/>
      <c r="R13" s="513"/>
      <c r="S13" s="513"/>
      <c r="T13" s="513"/>
      <c r="U13" s="513"/>
      <c r="V13" s="513"/>
      <c r="W13" s="513"/>
      <c r="X13" s="513"/>
      <c r="Y13" s="513"/>
      <c r="Z13" s="513"/>
      <c r="AA13" s="513"/>
      <c r="AB13" s="513"/>
      <c r="AC13" s="513"/>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row>
    <row r="14" spans="1:55" s="15" customFormat="1" ht="22.5" customHeight="1" x14ac:dyDescent="0.2">
      <c r="A14" s="25" t="s">
        <v>7</v>
      </c>
      <c r="B14" s="633"/>
      <c r="C14" s="634"/>
      <c r="D14" s="73"/>
      <c r="G14" s="93"/>
      <c r="H14" s="94"/>
      <c r="I14" s="62"/>
      <c r="J14" s="446" t="s">
        <v>819</v>
      </c>
      <c r="K14" s="772"/>
      <c r="L14" s="570" t="str">
        <f t="shared" si="0"/>
        <v/>
      </c>
      <c r="M14" s="518" t="str">
        <f>IF($J$10="! Filling data",IF(K14="","entry mandatory",""),"")</f>
        <v/>
      </c>
      <c r="N14" s="514"/>
      <c r="O14" s="514"/>
      <c r="P14" s="514"/>
      <c r="Q14" s="514"/>
      <c r="R14" s="514"/>
      <c r="S14" s="514"/>
      <c r="T14" s="514"/>
      <c r="U14" s="514"/>
      <c r="V14" s="513"/>
      <c r="W14" s="513"/>
      <c r="X14" s="513"/>
      <c r="Y14" s="513"/>
      <c r="Z14" s="513"/>
      <c r="AA14" s="513"/>
      <c r="AB14" s="513"/>
      <c r="AC14" s="513"/>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row>
    <row r="15" spans="1:55" s="15" customFormat="1" ht="21.75" customHeight="1" x14ac:dyDescent="0.25">
      <c r="A15" s="90" t="s">
        <v>689</v>
      </c>
      <c r="B15" s="633"/>
      <c r="C15" s="634"/>
      <c r="D15" s="73"/>
      <c r="H15" s="18"/>
      <c r="I15" s="65"/>
      <c r="J15" s="446" t="s">
        <v>820</v>
      </c>
      <c r="K15" s="525"/>
      <c r="L15" s="570" t="str">
        <f>IF(K15&lt;&gt;"",IF(M15="email address incorrect, please correct","","OK"),"")</f>
        <v/>
      </c>
      <c r="M15" s="704" t="str">
        <f>IF(Tabelle1!M13="ungültig","email address incorrect, please correct",IF($J$10="! Filling data",IF(K15="","entry mandatory",""),""))</f>
        <v/>
      </c>
      <c r="N15" s="515"/>
      <c r="O15" s="515"/>
      <c r="P15" s="515"/>
      <c r="Q15" s="515"/>
      <c r="R15" s="515"/>
      <c r="S15" s="515"/>
      <c r="T15" s="515"/>
      <c r="U15" s="521"/>
      <c r="V15" s="513"/>
      <c r="W15" s="513"/>
      <c r="X15" s="513"/>
      <c r="Y15" s="513"/>
      <c r="Z15" s="513"/>
      <c r="AA15" s="513"/>
      <c r="AB15" s="513"/>
      <c r="AC15" s="513"/>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row>
    <row r="16" spans="1:55" s="17" customFormat="1" ht="19.5" customHeight="1" x14ac:dyDescent="0.25">
      <c r="A16" s="90"/>
      <c r="B16" s="633"/>
      <c r="C16" s="634"/>
      <c r="D16" s="73" t="s">
        <v>1081</v>
      </c>
      <c r="I16" s="64"/>
      <c r="J16" s="446" t="s">
        <v>840</v>
      </c>
      <c r="K16" s="427"/>
      <c r="L16" s="527"/>
      <c r="M16" s="526"/>
      <c r="N16" s="516"/>
      <c r="O16" s="516"/>
      <c r="P16" s="516"/>
      <c r="Q16" s="516"/>
      <c r="R16" s="522"/>
      <c r="S16" s="522"/>
      <c r="T16" s="522"/>
      <c r="U16" s="522"/>
      <c r="V16" s="517"/>
      <c r="W16" s="517"/>
      <c r="X16" s="517"/>
      <c r="Y16" s="517"/>
      <c r="Z16" s="517"/>
      <c r="AA16" s="517"/>
      <c r="AB16" s="517"/>
      <c r="AC16" s="517"/>
    </row>
    <row r="17" spans="1:29" s="17" customFormat="1" ht="18" customHeight="1" x14ac:dyDescent="0.25">
      <c r="A17" s="90" t="s">
        <v>709</v>
      </c>
      <c r="B17" s="633"/>
      <c r="C17" s="634"/>
      <c r="D17" s="73"/>
      <c r="I17" s="64"/>
      <c r="K17" s="147"/>
      <c r="L17" s="505"/>
      <c r="M17" s="504"/>
      <c r="N17" s="518"/>
      <c r="O17" s="518"/>
      <c r="P17" s="518"/>
      <c r="Q17" s="518"/>
      <c r="R17" s="518"/>
      <c r="S17" s="518"/>
      <c r="T17" s="518"/>
      <c r="U17" s="518"/>
      <c r="V17" s="517"/>
      <c r="W17" s="517"/>
      <c r="X17" s="517"/>
      <c r="Y17" s="517"/>
      <c r="Z17" s="517"/>
      <c r="AA17" s="517"/>
      <c r="AB17" s="517"/>
      <c r="AC17" s="517"/>
    </row>
    <row r="18" spans="1:29" s="17" customFormat="1" ht="21.75" customHeight="1" x14ac:dyDescent="0.25">
      <c r="A18" s="25" t="s">
        <v>918</v>
      </c>
      <c r="B18" s="633"/>
      <c r="C18" s="634"/>
      <c r="D18" s="73" t="str">
        <f>IF($B$57&lt;&gt;1,"service only available for brands VW, Audi, Skoda, Bugatti",IF($B$58&lt;&gt;1,"service only available for brands VW, Audi, Skoda, Bugatti",""))</f>
        <v>service only available for brands VW, Audi, Skoda, Bugatti</v>
      </c>
      <c r="I18" s="64"/>
      <c r="K18" s="148"/>
      <c r="L18" s="503"/>
      <c r="M18" s="504"/>
      <c r="N18" s="512"/>
      <c r="O18" s="512"/>
      <c r="P18" s="512"/>
      <c r="Q18" s="512"/>
      <c r="R18" s="512"/>
      <c r="S18" s="512"/>
      <c r="T18" s="512"/>
      <c r="U18" s="512"/>
      <c r="V18" s="517"/>
      <c r="W18" s="517"/>
      <c r="X18" s="517"/>
      <c r="Y18" s="517"/>
      <c r="Z18" s="517"/>
      <c r="AA18" s="517"/>
      <c r="AB18" s="517"/>
      <c r="AC18" s="517"/>
    </row>
    <row r="19" spans="1:29" s="17" customFormat="1" ht="24.75" customHeight="1" x14ac:dyDescent="0.25">
      <c r="A19" s="25" t="s">
        <v>9</v>
      </c>
      <c r="B19" s="633"/>
      <c r="C19" s="634"/>
      <c r="D19" s="73" t="str">
        <f>B109</f>
        <v xml:space="preserve">
</v>
      </c>
      <c r="I19" s="64"/>
      <c r="K19" s="148"/>
      <c r="L19" s="503"/>
      <c r="M19" s="503"/>
      <c r="N19" s="512"/>
      <c r="O19" s="512"/>
      <c r="P19" s="512"/>
      <c r="Q19" s="512"/>
      <c r="R19" s="512"/>
      <c r="S19" s="512"/>
      <c r="T19" s="512"/>
      <c r="U19" s="512"/>
      <c r="V19" s="517"/>
      <c r="W19" s="517"/>
      <c r="X19" s="517"/>
      <c r="Y19" s="517"/>
      <c r="Z19" s="517"/>
      <c r="AA19" s="517"/>
      <c r="AB19" s="517"/>
      <c r="AC19" s="517"/>
    </row>
    <row r="20" spans="1:29" s="17" customFormat="1" ht="15.75" customHeight="1" x14ac:dyDescent="0.25">
      <c r="A20" s="25" t="s">
        <v>833</v>
      </c>
      <c r="B20" s="633"/>
      <c r="C20" s="634"/>
      <c r="D20" s="73" t="str">
        <f>IF($D$41&lt;2,"service only available for brand Audi","")</f>
        <v>service only available for brand Audi</v>
      </c>
      <c r="I20" s="63"/>
      <c r="J20" s="21"/>
      <c r="K20" s="149"/>
      <c r="L20" s="503"/>
      <c r="M20" s="503"/>
      <c r="N20" s="512"/>
      <c r="O20" s="512"/>
      <c r="P20" s="512"/>
      <c r="Q20" s="512" t="s">
        <v>914</v>
      </c>
      <c r="R20" s="512"/>
      <c r="S20" s="512">
        <f>IF(B20="x",IF(C6="Audi",1,10),0)</f>
        <v>0</v>
      </c>
      <c r="T20" s="512">
        <f>IF(C20="x",IF(C7="Audi",1,10),0)</f>
        <v>0</v>
      </c>
      <c r="U20" s="512"/>
      <c r="V20" s="517"/>
      <c r="W20" s="517"/>
      <c r="X20" s="517"/>
      <c r="Y20" s="517"/>
      <c r="Z20" s="517"/>
      <c r="AA20" s="517"/>
      <c r="AB20" s="517"/>
      <c r="AC20" s="517"/>
    </row>
    <row r="21" spans="1:29" s="17" customFormat="1" ht="27.75" customHeight="1" x14ac:dyDescent="0.25">
      <c r="A21" s="25" t="s">
        <v>1024</v>
      </c>
      <c r="B21" s="633"/>
      <c r="C21" s="634"/>
      <c r="D21" s="73" t="str">
        <f>IF(B75=2,"service only available for brand Audi",IF(B44=1,"recommendation: order service in addition to CONNECT",IF(B45=1,"recommendation: order service in addition to  CONNECT",IF(B46=0,"service only available for brand Audi",IF(B46=0,"service only available for brand Audi","")))))</f>
        <v>service only available for brand Audi</v>
      </c>
      <c r="I21" s="66"/>
      <c r="J21" s="1014"/>
      <c r="K21" s="1015"/>
      <c r="L21" s="503"/>
      <c r="M21" s="503"/>
      <c r="N21" s="512"/>
      <c r="O21" s="512"/>
      <c r="P21" s="512"/>
      <c r="Q21" s="512"/>
      <c r="R21" s="512"/>
      <c r="S21" s="512"/>
      <c r="T21" s="512"/>
      <c r="U21" s="512"/>
      <c r="V21" s="517"/>
      <c r="W21" s="517"/>
      <c r="X21" s="517"/>
      <c r="Y21" s="517"/>
      <c r="Z21" s="517"/>
      <c r="AA21" s="517"/>
      <c r="AB21" s="517"/>
      <c r="AC21" s="517"/>
    </row>
    <row r="22" spans="1:29" s="17" customFormat="1" ht="18" customHeight="1" x14ac:dyDescent="0.25">
      <c r="A22" s="26" t="s">
        <v>834</v>
      </c>
      <c r="B22" s="633"/>
      <c r="C22" s="634"/>
      <c r="D22" s="23"/>
      <c r="H22" s="22"/>
      <c r="I22" s="64"/>
      <c r="J22" s="77"/>
      <c r="K22" s="78"/>
      <c r="L22" s="529"/>
      <c r="M22" s="524"/>
      <c r="N22" s="514"/>
      <c r="O22" s="514"/>
      <c r="P22" s="512"/>
      <c r="Q22" s="512"/>
      <c r="R22" s="512"/>
      <c r="S22" s="512"/>
      <c r="T22" s="512"/>
      <c r="U22" s="512"/>
      <c r="V22" s="517"/>
      <c r="W22" s="517"/>
      <c r="X22" s="517"/>
      <c r="Y22" s="517"/>
      <c r="Z22" s="517"/>
      <c r="AA22" s="517"/>
      <c r="AB22" s="517"/>
      <c r="AC22" s="517"/>
    </row>
    <row r="23" spans="1:29" s="17" customFormat="1" ht="18" hidden="1" customHeight="1" x14ac:dyDescent="0.25">
      <c r="A23" s="25" t="s">
        <v>5</v>
      </c>
      <c r="B23" s="633"/>
      <c r="C23" s="634"/>
      <c r="D23" s="73" t="str">
        <f>IF($D$41&lt;2,"service only available for brand Audi","")</f>
        <v>service only available for brand Audi</v>
      </c>
      <c r="H23" s="22"/>
      <c r="I23" s="96"/>
      <c r="J23" s="77"/>
      <c r="K23" s="78"/>
      <c r="L23" s="529"/>
      <c r="M23" s="524"/>
      <c r="N23" s="514"/>
      <c r="O23" s="514"/>
      <c r="P23" s="512"/>
      <c r="Q23" s="512"/>
      <c r="R23" s="512"/>
      <c r="S23" s="512"/>
      <c r="T23" s="512"/>
      <c r="U23" s="512"/>
      <c r="V23" s="517"/>
      <c r="W23" s="517"/>
      <c r="X23" s="517"/>
      <c r="Y23" s="517"/>
      <c r="Z23" s="517"/>
      <c r="AA23" s="517"/>
      <c r="AB23" s="517"/>
      <c r="AC23" s="517"/>
    </row>
    <row r="24" spans="1:29" s="17" customFormat="1" ht="75" customHeight="1" x14ac:dyDescent="0.25">
      <c r="A24" s="97" t="s">
        <v>696</v>
      </c>
      <c r="B24" s="633"/>
      <c r="C24" s="634"/>
      <c r="D24" s="448" t="str">
        <f>IF(B82=1,IF(K24="","Add information about usage of citrix --&gt;
e.g. brand VW 
the following applications are available among others: AVON, Business Objects (SAP Reporting), DOORS, EPUS, SAP Logon PAD, TOMCADS",IF(C7="VW","e.g. the following applications are available: AVON, Business Objects (SAP Reporting), DOORS, EPUS, SAP Logon PAD, TOMCADS
or TE-Citrix","")),"")</f>
        <v/>
      </c>
      <c r="H24" s="22"/>
      <c r="I24" s="96"/>
      <c r="J24" s="829" t="str">
        <f>IF(B82=1,IF(N41=1,"Which application will be used via Citrix?
Will the  -Citrix Desktop- of VW Technical development be used?","Which application will be used via Citrix?"),"")</f>
        <v/>
      </c>
      <c r="K24" s="782"/>
      <c r="L24" s="529"/>
      <c r="M24" s="524"/>
      <c r="N24" s="514"/>
      <c r="O24" s="514"/>
      <c r="P24" s="512"/>
      <c r="Q24" s="512"/>
      <c r="R24" s="512"/>
      <c r="S24" s="512"/>
      <c r="T24" s="512"/>
      <c r="U24" s="512"/>
      <c r="V24" s="517"/>
      <c r="W24" s="517"/>
      <c r="X24" s="517"/>
      <c r="Y24" s="517"/>
      <c r="Z24" s="517"/>
      <c r="AA24" s="517"/>
      <c r="AB24" s="517"/>
      <c r="AC24" s="517"/>
    </row>
    <row r="25" spans="1:29" s="17" customFormat="1" ht="17.25" customHeight="1" x14ac:dyDescent="0.25">
      <c r="A25" s="97" t="s">
        <v>697</v>
      </c>
      <c r="B25" s="633"/>
      <c r="C25" s="634"/>
      <c r="D25" s="73" t="str">
        <f>IF(B70=1,"brand Audi-select of WTS mandatory for service TMZ drive",IF(B71=1,"brand Audi-select of WTS mandatory for service TMZ drive",IF(B41=0,"service only available for brand Audi",IF(B42=0,"service only available for brand Audi",""))))</f>
        <v>service only available for brand Audi</v>
      </c>
      <c r="I25" s="67"/>
      <c r="L25" s="504"/>
      <c r="M25" s="504"/>
      <c r="N25" s="517"/>
      <c r="O25" s="517"/>
      <c r="P25" s="517"/>
      <c r="Q25" s="512" t="s">
        <v>913</v>
      </c>
      <c r="R25" s="512"/>
      <c r="S25" s="512">
        <f>IF(B25="x",IF(C11="Audi",1,10),0)</f>
        <v>0</v>
      </c>
      <c r="T25" s="512">
        <f>IF(C25="x",IF(C12="Audi",1,10),0)</f>
        <v>0</v>
      </c>
      <c r="U25" s="517"/>
      <c r="V25" s="517"/>
      <c r="W25" s="517"/>
      <c r="X25" s="517"/>
      <c r="Y25" s="517"/>
      <c r="Z25" s="517"/>
      <c r="AA25" s="517"/>
      <c r="AB25" s="517"/>
      <c r="AC25" s="517"/>
    </row>
    <row r="26" spans="1:29" s="17" customFormat="1" ht="17.25" hidden="1" customHeight="1" x14ac:dyDescent="0.25">
      <c r="A26" s="90"/>
      <c r="B26" s="633"/>
      <c r="C26" s="634"/>
      <c r="D26" s="73"/>
      <c r="I26" s="67"/>
      <c r="J26" s="20"/>
      <c r="L26" s="504"/>
      <c r="M26" s="504"/>
      <c r="N26" s="517"/>
      <c r="O26" s="517"/>
      <c r="P26" s="517"/>
      <c r="Q26" s="517"/>
      <c r="R26" s="517"/>
      <c r="S26" s="517"/>
      <c r="T26" s="517"/>
      <c r="U26" s="517"/>
      <c r="V26" s="517"/>
      <c r="W26" s="517"/>
      <c r="X26" s="517"/>
      <c r="Y26" s="517"/>
      <c r="Z26" s="517"/>
      <c r="AA26" s="517"/>
      <c r="AB26" s="517"/>
      <c r="AC26" s="517"/>
    </row>
    <row r="27" spans="1:29" s="17" customFormat="1" ht="17.25" customHeight="1" x14ac:dyDescent="0.25">
      <c r="A27" s="90" t="s">
        <v>51</v>
      </c>
      <c r="B27" s="633"/>
      <c r="C27" s="634"/>
      <c r="D27" s="73" t="str">
        <f>IF(COUNTBLANK(B27:C27)&lt;2,IF(S28=1,"call the locations of use --&gt;",IF(S29=1,"call the locations of use --&gt;","")),"")</f>
        <v/>
      </c>
      <c r="I27" s="67"/>
      <c r="J27" s="465" t="s">
        <v>841</v>
      </c>
      <c r="L27" s="504"/>
      <c r="M27" s="504"/>
      <c r="N27" s="517"/>
      <c r="O27" s="517"/>
      <c r="P27" s="517"/>
      <c r="Q27" s="517"/>
      <c r="R27" s="517"/>
      <c r="S27" s="517"/>
      <c r="T27" s="517"/>
      <c r="U27" s="517"/>
      <c r="V27" s="517"/>
      <c r="W27" s="517"/>
      <c r="X27" s="517"/>
      <c r="Y27" s="517"/>
      <c r="Z27" s="517"/>
      <c r="AA27" s="517"/>
      <c r="AB27" s="517"/>
      <c r="AC27" s="517"/>
    </row>
    <row r="28" spans="1:29" s="17" customFormat="1" ht="21" customHeight="1" x14ac:dyDescent="0.25">
      <c r="A28" s="25" t="s">
        <v>835</v>
      </c>
      <c r="B28" s="633"/>
      <c r="C28" s="634"/>
      <c r="D28" s="448" t="str">
        <f>IF(B28="x","name service or IP at next row",IF(C28="x","name service or IP at next row",IF(B81=10,"selection of brand for named further service/IP is pending","")))</f>
        <v/>
      </c>
      <c r="I28" s="68"/>
      <c r="J28" s="1026"/>
      <c r="K28" s="1027"/>
      <c r="L28" s="1028"/>
      <c r="M28" s="504"/>
      <c r="N28" s="517" t="s">
        <v>912</v>
      </c>
      <c r="O28" s="517">
        <f>IF(J28="",0,1)</f>
        <v>0</v>
      </c>
      <c r="P28" s="517"/>
      <c r="Q28" s="517" t="s">
        <v>911</v>
      </c>
      <c r="R28" s="517"/>
      <c r="S28" s="517">
        <f>IF(B27="x",IF(C6="Audi",1,0),0)</f>
        <v>0</v>
      </c>
      <c r="T28" s="517"/>
      <c r="U28" s="517"/>
      <c r="V28" s="517"/>
      <c r="W28" s="517"/>
      <c r="X28" s="517"/>
      <c r="Y28" s="517"/>
      <c r="Z28" s="517"/>
      <c r="AA28" s="517"/>
      <c r="AB28" s="517"/>
      <c r="AC28" s="517"/>
    </row>
    <row r="29" spans="1:29" s="17" customFormat="1" ht="38.25" customHeight="1" thickBot="1" x14ac:dyDescent="0.3">
      <c r="A29" s="447" t="s">
        <v>836</v>
      </c>
      <c r="B29" s="1022"/>
      <c r="C29" s="1023"/>
      <c r="D29" s="73" t="str">
        <f>IF(B29&lt;&gt;"", IF(D78="fazit","notification for FAZIT: exclusively naming of the item responsible of the commissioning Volkswagen Group department on sheet - contact person VW Group",""),"")</f>
        <v/>
      </c>
      <c r="I29" s="64"/>
      <c r="J29" s="475"/>
      <c r="K29" s="475"/>
      <c r="L29" s="504"/>
      <c r="M29" s="504"/>
      <c r="N29" s="517"/>
      <c r="O29" s="517"/>
      <c r="P29" s="517"/>
      <c r="Q29" s="517"/>
      <c r="R29" s="517"/>
      <c r="S29" s="517">
        <f>IF(C27="x",IF(C7="Audi",1,0),0)</f>
        <v>0</v>
      </c>
      <c r="T29" s="517"/>
      <c r="U29" s="517"/>
      <c r="V29" s="517"/>
      <c r="W29" s="517"/>
      <c r="X29" s="517"/>
      <c r="Y29" s="517"/>
      <c r="Z29" s="517"/>
      <c r="AA29" s="517"/>
      <c r="AB29" s="517"/>
      <c r="AC29" s="517"/>
    </row>
    <row r="30" spans="1:29" s="61" customFormat="1" ht="94.5" customHeight="1" thickTop="1" x14ac:dyDescent="0.2">
      <c r="A30" s="828" t="s">
        <v>1079</v>
      </c>
      <c r="B30" s="1011"/>
      <c r="C30" s="1012"/>
      <c r="D30" s="1013"/>
      <c r="E30" s="74"/>
      <c r="L30" s="500"/>
      <c r="M30" s="500"/>
      <c r="N30" s="509"/>
      <c r="O30" s="509"/>
      <c r="P30" s="509"/>
      <c r="Q30" s="509"/>
      <c r="R30" s="509"/>
      <c r="S30" s="509"/>
      <c r="T30" s="509"/>
      <c r="U30" s="509"/>
      <c r="V30" s="509"/>
      <c r="W30" s="509"/>
      <c r="X30" s="509"/>
      <c r="Y30" s="509"/>
      <c r="Z30" s="509"/>
      <c r="AA30" s="509"/>
      <c r="AB30" s="509"/>
      <c r="AC30" s="509"/>
    </row>
    <row r="31" spans="1:29" s="130" customFormat="1" x14ac:dyDescent="0.2">
      <c r="A31" s="131"/>
      <c r="B31" s="131"/>
      <c r="C31" s="131"/>
      <c r="D31" s="131"/>
      <c r="L31" s="500"/>
      <c r="M31" s="500"/>
      <c r="N31" s="509"/>
      <c r="O31" s="509"/>
      <c r="P31" s="509"/>
      <c r="Q31" s="509"/>
      <c r="R31" s="509"/>
      <c r="S31" s="509"/>
      <c r="T31" s="509"/>
      <c r="U31" s="509"/>
      <c r="V31" s="509"/>
      <c r="W31" s="509"/>
      <c r="X31" s="509"/>
      <c r="Y31" s="509"/>
      <c r="Z31" s="509"/>
      <c r="AA31" s="509"/>
      <c r="AB31" s="509"/>
      <c r="AC31" s="509"/>
    </row>
    <row r="32" spans="1:29" s="509" customFormat="1" x14ac:dyDescent="0.2">
      <c r="I32" s="935"/>
    </row>
    <row r="33" spans="1:14" s="509" customFormat="1" x14ac:dyDescent="0.2"/>
    <row r="34" spans="1:14" s="509" customFormat="1" ht="59.25" customHeight="1" x14ac:dyDescent="0.2">
      <c r="J34" s="936" t="s">
        <v>688</v>
      </c>
      <c r="K34" s="510">
        <f>IF(K2="OK, next step",100,0)</f>
        <v>0</v>
      </c>
    </row>
    <row r="35" spans="1:14" s="509" customFormat="1" x14ac:dyDescent="0.2"/>
    <row r="36" spans="1:14" s="509" customFormat="1" x14ac:dyDescent="0.2"/>
    <row r="37" spans="1:14" s="509" customFormat="1" x14ac:dyDescent="0.2"/>
    <row r="38" spans="1:14" s="509" customFormat="1" x14ac:dyDescent="0.2"/>
    <row r="39" spans="1:14" s="509" customFormat="1" x14ac:dyDescent="0.2"/>
    <row r="40" spans="1:14" s="509" customFormat="1" x14ac:dyDescent="0.2"/>
    <row r="41" spans="1:14" s="509" customFormat="1" ht="27.75" customHeight="1" x14ac:dyDescent="0.2">
      <c r="A41" s="509" t="s">
        <v>718</v>
      </c>
      <c r="B41" s="509">
        <f>IF(C6="Audi",1,0)</f>
        <v>0</v>
      </c>
      <c r="C41" s="937" t="s">
        <v>691</v>
      </c>
      <c r="D41" s="938">
        <f>SUM(B41:B42)</f>
        <v>0</v>
      </c>
      <c r="J41" s="509" t="s">
        <v>1028</v>
      </c>
      <c r="K41" s="509">
        <f>IF(C6="VW",1,0)</f>
        <v>0</v>
      </c>
      <c r="M41" s="509" t="s">
        <v>1027</v>
      </c>
      <c r="N41" s="509">
        <f>SUM(K41:K42)</f>
        <v>0</v>
      </c>
    </row>
    <row r="42" spans="1:14" s="509" customFormat="1" x14ac:dyDescent="0.2">
      <c r="A42" s="509" t="s">
        <v>719</v>
      </c>
      <c r="B42" s="509">
        <f>IF(C7="Audi",1,0)</f>
        <v>0</v>
      </c>
      <c r="J42" s="509" t="s">
        <v>1029</v>
      </c>
      <c r="K42" s="509">
        <f>IF(C7="VW",1,0)</f>
        <v>0</v>
      </c>
    </row>
    <row r="43" spans="1:14" s="509" customFormat="1" x14ac:dyDescent="0.2">
      <c r="A43" s="509" t="s">
        <v>720</v>
      </c>
      <c r="B43" s="509">
        <f>B30</f>
        <v>0</v>
      </c>
    </row>
    <row r="44" spans="1:14" s="509" customFormat="1" ht="38.25" x14ac:dyDescent="0.2">
      <c r="A44" s="937" t="s">
        <v>721</v>
      </c>
      <c r="B44" s="509">
        <f>IF(C6="Audi",IF(B12="x",1,0),0)</f>
        <v>0</v>
      </c>
      <c r="C44" s="937" t="s">
        <v>687</v>
      </c>
      <c r="D44" s="938">
        <f>SUM(B44:B45)</f>
        <v>0</v>
      </c>
    </row>
    <row r="45" spans="1:14" s="509" customFormat="1" ht="25.5" customHeight="1" x14ac:dyDescent="0.2">
      <c r="A45" s="937" t="s">
        <v>722</v>
      </c>
      <c r="B45" s="509">
        <f>IF(C7="Audi",IF(C12="x",1,0),0)</f>
        <v>0</v>
      </c>
      <c r="C45" s="937" t="s">
        <v>725</v>
      </c>
      <c r="D45" s="938">
        <f>SUM(B46:B47)</f>
        <v>0</v>
      </c>
    </row>
    <row r="46" spans="1:14" s="509" customFormat="1" ht="30" customHeight="1" x14ac:dyDescent="0.2">
      <c r="A46" s="937" t="s">
        <v>729</v>
      </c>
      <c r="B46" s="509">
        <f>IF(B44=1,IF(B21="x",1,2),0)</f>
        <v>0</v>
      </c>
      <c r="D46" s="938"/>
    </row>
    <row r="47" spans="1:14" s="509" customFormat="1" ht="29.25" customHeight="1" x14ac:dyDescent="0.2">
      <c r="A47" s="937" t="s">
        <v>730</v>
      </c>
      <c r="B47" s="509">
        <f>IF(B45=1,IF(C21="x",1,2),0)</f>
        <v>0</v>
      </c>
      <c r="D47" s="938"/>
    </row>
    <row r="48" spans="1:14" s="509" customFormat="1" x14ac:dyDescent="0.2">
      <c r="D48" s="938"/>
    </row>
    <row r="49" spans="1:4" s="509" customFormat="1" ht="38.25" customHeight="1" x14ac:dyDescent="0.2">
      <c r="A49" s="509" t="s">
        <v>723</v>
      </c>
      <c r="B49" s="509">
        <f>IF(C6="Audi",IF(B11="x",1,0),0)</f>
        <v>0</v>
      </c>
      <c r="C49" s="937" t="s">
        <v>686</v>
      </c>
      <c r="D49" s="938">
        <f>SUM(B49:B50)</f>
        <v>0</v>
      </c>
    </row>
    <row r="50" spans="1:4" s="509" customFormat="1" ht="25.5" x14ac:dyDescent="0.2">
      <c r="A50" s="509" t="s">
        <v>724</v>
      </c>
      <c r="B50" s="509">
        <f>IF(C7="Audi",IF(C11="x",1,0),0)</f>
        <v>0</v>
      </c>
      <c r="C50" s="937" t="s">
        <v>726</v>
      </c>
      <c r="D50" s="938">
        <f>SUM(B51:B52)</f>
        <v>0</v>
      </c>
    </row>
    <row r="51" spans="1:4" s="509" customFormat="1" ht="23.25" customHeight="1" x14ac:dyDescent="0.2">
      <c r="A51" s="937" t="s">
        <v>727</v>
      </c>
      <c r="B51" s="509">
        <f>IF(B49=1,IF(B21="x",1,2),0)</f>
        <v>0</v>
      </c>
    </row>
    <row r="52" spans="1:4" s="509" customFormat="1" ht="27.75" customHeight="1" x14ac:dyDescent="0.2">
      <c r="A52" s="937" t="s">
        <v>728</v>
      </c>
      <c r="B52" s="509">
        <f>IF(B50=1,IF(C21="x",1,2),0)</f>
        <v>0</v>
      </c>
    </row>
    <row r="53" spans="1:4" s="509" customFormat="1" x14ac:dyDescent="0.2"/>
    <row r="54" spans="1:4" s="509" customFormat="1" x14ac:dyDescent="0.2"/>
    <row r="55" spans="1:4" s="509" customFormat="1" x14ac:dyDescent="0.2">
      <c r="A55" s="939" t="s">
        <v>921</v>
      </c>
      <c r="B55" s="509">
        <f>IF($C$6="VW",1,IF($C$6="Audi",1,IF($C$6="Skoda",1,IF($C$6="Bugatti",1,IF($C$6="",2,0)))))</f>
        <v>2</v>
      </c>
    </row>
    <row r="56" spans="1:4" s="509" customFormat="1" x14ac:dyDescent="0.2">
      <c r="A56" s="937" t="s">
        <v>922</v>
      </c>
      <c r="B56" s="509">
        <f>IF($C$7="VW",1,IF($C$7="Audi",1,IF($C$7="Skoda",1,IF($C$7="Bugatti",1,IF($C$7="",2,0)))))</f>
        <v>2</v>
      </c>
    </row>
    <row r="57" spans="1:4" s="509" customFormat="1" ht="23.25" x14ac:dyDescent="0.2">
      <c r="A57" s="939" t="s">
        <v>919</v>
      </c>
      <c r="B57" s="509">
        <f>IF($C$6="VW",1,IF($C$6="Audi",1,IF($C$6="Skoda",1,IF($C$6="Bugatti",1,IF($C$6="",2,0)))))</f>
        <v>2</v>
      </c>
    </row>
    <row r="58" spans="1:4" s="509" customFormat="1" ht="23.25" x14ac:dyDescent="0.2">
      <c r="A58" s="939" t="s">
        <v>920</v>
      </c>
      <c r="B58" s="509">
        <f>IF($C$7="VW",1,IF($C$7="Audi",1,IF($C$7="Skoda",1,IF($C$7="Bugatti",1,IF($C$7="",2,0)))))</f>
        <v>2</v>
      </c>
    </row>
    <row r="59" spans="1:4" s="509" customFormat="1" x14ac:dyDescent="0.2">
      <c r="A59" s="940" t="s">
        <v>711</v>
      </c>
    </row>
    <row r="60" spans="1:4" s="509" customFormat="1" ht="38.25" x14ac:dyDescent="0.2">
      <c r="A60" s="509" t="s">
        <v>714</v>
      </c>
      <c r="B60" s="509">
        <f>IF(B12="x",1,IF(C12="x",1,0))</f>
        <v>0</v>
      </c>
      <c r="C60" s="937" t="s">
        <v>712</v>
      </c>
      <c r="D60" s="509">
        <f>IF(ISERROR(VLOOKUP(1,B60:B62,1,)),0,1)</f>
        <v>0</v>
      </c>
    </row>
    <row r="61" spans="1:4" s="509" customFormat="1" x14ac:dyDescent="0.2">
      <c r="A61" s="509" t="s">
        <v>715</v>
      </c>
      <c r="B61" s="509">
        <f>IF(B15="x",1,IF(C15="x",1,0))</f>
        <v>0</v>
      </c>
    </row>
    <row r="62" spans="1:4" s="509" customFormat="1" x14ac:dyDescent="0.2">
      <c r="A62" s="509" t="s">
        <v>716</v>
      </c>
      <c r="B62" s="509">
        <f>IF(B17="x",1,IF(C17="x",1,0))</f>
        <v>0</v>
      </c>
    </row>
    <row r="63" spans="1:4" s="509" customFormat="1" ht="76.5" x14ac:dyDescent="0.2">
      <c r="A63" s="509" t="s">
        <v>717</v>
      </c>
      <c r="B63" s="509">
        <f>IF(B11="x",1,IF(C11="x",1,0))</f>
        <v>0</v>
      </c>
      <c r="C63" s="937" t="s">
        <v>713</v>
      </c>
      <c r="D63" s="941" t="str">
        <f>IF(COUNTBLANK(C6:C7)=2,"",IF(COUNTBLANK(B11:C17)=14,5,IF(D60=0,IF(B63=1,1,2),0)))</f>
        <v/>
      </c>
    </row>
    <row r="64" spans="1:4" s="509" customFormat="1" x14ac:dyDescent="0.2"/>
    <row r="65" spans="1:4" s="509" customFormat="1" x14ac:dyDescent="0.2"/>
    <row r="66" spans="1:4" s="509" customFormat="1" x14ac:dyDescent="0.2">
      <c r="A66" s="509" t="s">
        <v>789</v>
      </c>
      <c r="C66" s="509">
        <f>IF(C6="Audi",IF(B27&lt;&gt;"",IF(JITAudi_Nutzungsstandorte&lt;&gt;"",1,10),101),100)</f>
        <v>100</v>
      </c>
      <c r="D66" s="509" t="s">
        <v>791</v>
      </c>
    </row>
    <row r="67" spans="1:4" s="509" customFormat="1" x14ac:dyDescent="0.2">
      <c r="A67" s="509" t="s">
        <v>790</v>
      </c>
      <c r="C67" s="509">
        <f>IF(C7="Audi",IF(C27&lt;&gt;"",IF(JITAudi_Nutzungsstandorte&lt;&gt;"",1,10),101),100)</f>
        <v>100</v>
      </c>
      <c r="D67" s="509" t="s">
        <v>791</v>
      </c>
    </row>
    <row r="68" spans="1:4" s="509" customFormat="1" x14ac:dyDescent="0.2">
      <c r="A68" s="509" t="s">
        <v>792</v>
      </c>
      <c r="C68" s="509" t="str">
        <f>IF(SUM(C66:C67)&lt;3,"ok","")</f>
        <v/>
      </c>
    </row>
    <row r="69" spans="1:4" s="509" customFormat="1" x14ac:dyDescent="0.2"/>
    <row r="70" spans="1:4" s="509" customFormat="1" x14ac:dyDescent="0.2">
      <c r="A70" s="509" t="s">
        <v>917</v>
      </c>
      <c r="B70" s="509" t="str">
        <f>IF(B20="x",IF(C6="Audi",IF(B25&lt;&gt;"x",1,2),""),"")</f>
        <v/>
      </c>
    </row>
    <row r="71" spans="1:4" s="509" customFormat="1" x14ac:dyDescent="0.2">
      <c r="A71" s="509" t="s">
        <v>917</v>
      </c>
      <c r="B71" s="509" t="str">
        <f>IF(C20="x",IF(C7="Audi",IF(C25&lt;&gt;"x",1,2),""),"")</f>
        <v/>
      </c>
    </row>
    <row r="72" spans="1:4" s="509" customFormat="1" x14ac:dyDescent="0.2"/>
    <row r="73" spans="1:4" s="509" customFormat="1" x14ac:dyDescent="0.2"/>
    <row r="74" spans="1:4" s="509" customFormat="1" x14ac:dyDescent="0.2"/>
    <row r="75" spans="1:4" s="509" customFormat="1" x14ac:dyDescent="0.2"/>
    <row r="76" spans="1:4" s="509" customFormat="1" x14ac:dyDescent="0.2"/>
    <row r="77" spans="1:4" s="509" customFormat="1" x14ac:dyDescent="0.2"/>
    <row r="78" spans="1:4" s="509" customFormat="1" ht="25.5" x14ac:dyDescent="0.2">
      <c r="A78" s="937" t="s">
        <v>1012</v>
      </c>
      <c r="B78" s="942">
        <f>B29</f>
        <v>0</v>
      </c>
      <c r="C78" s="509" t="e">
        <f>FIND("fazit",LOWER(B78),1)</f>
        <v>#VALUE!</v>
      </c>
      <c r="D78" s="509" t="str">
        <f>IF(ISERROR(C78),"",IF(C78&gt;0,"fazit",0))</f>
        <v/>
      </c>
    </row>
    <row r="79" spans="1:4" s="509" customFormat="1" x14ac:dyDescent="0.2"/>
    <row r="80" spans="1:4" s="509" customFormat="1" x14ac:dyDescent="0.2">
      <c r="A80" s="509" t="s">
        <v>1013</v>
      </c>
      <c r="B80" s="509">
        <f>IF(B28&lt;&gt;"x",IF(C28&lt;&gt;"x",10,1),1)</f>
        <v>10</v>
      </c>
    </row>
    <row r="81" spans="1:3" s="509" customFormat="1" x14ac:dyDescent="0.2">
      <c r="B81" s="509">
        <f>IF(B80=10,IF(B29&lt;&gt;"",10,1),1)</f>
        <v>1</v>
      </c>
    </row>
    <row r="82" spans="1:3" s="509" customFormat="1" x14ac:dyDescent="0.2">
      <c r="A82" s="509" t="s">
        <v>1030</v>
      </c>
      <c r="B82" s="509">
        <f>IF(B24="x",1,IF(C24="x",1,0))</f>
        <v>0</v>
      </c>
    </row>
    <row r="83" spans="1:3" s="509" customFormat="1" x14ac:dyDescent="0.2"/>
    <row r="84" spans="1:3" s="509" customFormat="1" x14ac:dyDescent="0.2"/>
    <row r="85" spans="1:3" s="509" customFormat="1" x14ac:dyDescent="0.2">
      <c r="A85" s="940" t="s">
        <v>1047</v>
      </c>
    </row>
    <row r="86" spans="1:3" s="509" customFormat="1" x14ac:dyDescent="0.2">
      <c r="A86" s="509" t="s">
        <v>1048</v>
      </c>
      <c r="B86" s="947">
        <f>IF(B11="x",1,0)</f>
        <v>0</v>
      </c>
      <c r="C86" s="938" t="s">
        <v>1065</v>
      </c>
    </row>
    <row r="87" spans="1:3" s="509" customFormat="1" x14ac:dyDescent="0.2">
      <c r="A87" s="509" t="s">
        <v>1049</v>
      </c>
      <c r="B87" s="947">
        <f>IF(B19="x",1,0)</f>
        <v>0</v>
      </c>
      <c r="C87" s="938" t="s">
        <v>1065</v>
      </c>
    </row>
    <row r="88" spans="1:3" s="509" customFormat="1" x14ac:dyDescent="0.2">
      <c r="A88" s="509" t="s">
        <v>1050</v>
      </c>
      <c r="B88" s="947">
        <f>IF(B87=0,0,IF(B55=0,20,1))</f>
        <v>0</v>
      </c>
      <c r="C88" s="938" t="s">
        <v>1066</v>
      </c>
    </row>
    <row r="89" spans="1:3" s="509" customFormat="1" x14ac:dyDescent="0.2">
      <c r="A89" s="509" t="s">
        <v>1051</v>
      </c>
      <c r="B89" s="947">
        <f>IF(B88=1,IF(B86=1,1,0),0)</f>
        <v>0</v>
      </c>
      <c r="C89" s="938" t="s">
        <v>1067</v>
      </c>
    </row>
    <row r="90" spans="1:3" s="509" customFormat="1" x14ac:dyDescent="0.2">
      <c r="A90" s="943" t="s">
        <v>1052</v>
      </c>
      <c r="B90" s="947" t="str">
        <f>IF(B88=20,"service not available for the selected brand","")</f>
        <v/>
      </c>
      <c r="C90" s="938" t="s">
        <v>1068</v>
      </c>
    </row>
    <row r="91" spans="1:3" s="509" customFormat="1" x14ac:dyDescent="0.2">
      <c r="A91" s="943" t="s">
        <v>1053</v>
      </c>
      <c r="B91" s="947" t="str">
        <f>IF(B89=1,"SimplX is not required if KVS is used","")</f>
        <v/>
      </c>
      <c r="C91" s="938"/>
    </row>
    <row r="92" spans="1:3" s="509" customFormat="1" x14ac:dyDescent="0.2">
      <c r="A92" s="943" t="s">
        <v>1054</v>
      </c>
      <c r="B92" s="947" t="str">
        <f>B90&amp;"
"&amp;B91</f>
        <v xml:space="preserve">
</v>
      </c>
      <c r="C92" s="944"/>
    </row>
    <row r="93" spans="1:3" s="509" customFormat="1" x14ac:dyDescent="0.2">
      <c r="B93" s="947"/>
      <c r="C93" s="945"/>
    </row>
    <row r="94" spans="1:3" s="509" customFormat="1" x14ac:dyDescent="0.2">
      <c r="A94" s="509" t="s">
        <v>1055</v>
      </c>
      <c r="B94" s="947">
        <f>IF(C11="x",1,0)</f>
        <v>0</v>
      </c>
      <c r="C94" s="938" t="s">
        <v>1065</v>
      </c>
    </row>
    <row r="95" spans="1:3" s="509" customFormat="1" x14ac:dyDescent="0.2">
      <c r="A95" s="509" t="s">
        <v>1056</v>
      </c>
      <c r="B95" s="947">
        <f>IF(C19="x",1,0)</f>
        <v>0</v>
      </c>
      <c r="C95" s="938" t="s">
        <v>1065</v>
      </c>
    </row>
    <row r="96" spans="1:3" s="509" customFormat="1" x14ac:dyDescent="0.2">
      <c r="A96" s="509" t="s">
        <v>1057</v>
      </c>
      <c r="B96" s="947">
        <f>IF(B95=0,0,IF(B56=0,20,1))</f>
        <v>0</v>
      </c>
      <c r="C96" s="938" t="s">
        <v>1066</v>
      </c>
    </row>
    <row r="97" spans="1:3" s="509" customFormat="1" x14ac:dyDescent="0.2">
      <c r="A97" s="509" t="s">
        <v>1058</v>
      </c>
      <c r="B97" s="947">
        <f>IF(B96=1,IF(B94=1,1,0),0)</f>
        <v>0</v>
      </c>
      <c r="C97" s="938" t="s">
        <v>1067</v>
      </c>
    </row>
    <row r="98" spans="1:3" s="509" customFormat="1" x14ac:dyDescent="0.2">
      <c r="A98" s="943" t="s">
        <v>1052</v>
      </c>
      <c r="B98" s="947" t="str">
        <f>IF(B96=20,"service not available for the selected brand","")</f>
        <v/>
      </c>
      <c r="C98" s="938" t="s">
        <v>1068</v>
      </c>
    </row>
    <row r="99" spans="1:3" s="509" customFormat="1" x14ac:dyDescent="0.2">
      <c r="A99" s="943" t="s">
        <v>1053</v>
      </c>
      <c r="B99" s="947" t="str">
        <f>IF(B97=1,"SimplX is not required if KVS is used","")</f>
        <v/>
      </c>
      <c r="C99" s="938"/>
    </row>
    <row r="100" spans="1:3" s="509" customFormat="1" x14ac:dyDescent="0.2">
      <c r="A100" s="943" t="s">
        <v>1059</v>
      </c>
      <c r="B100" s="947" t="str">
        <f>B98&amp;"
"&amp;B99</f>
        <v xml:space="preserve">
</v>
      </c>
      <c r="C100" s="938"/>
    </row>
    <row r="101" spans="1:3" s="509" customFormat="1" x14ac:dyDescent="0.2">
      <c r="B101" s="947"/>
      <c r="C101" s="938"/>
    </row>
    <row r="102" spans="1:3" s="509" customFormat="1" x14ac:dyDescent="0.2">
      <c r="B102" s="947"/>
      <c r="C102" s="938"/>
    </row>
    <row r="103" spans="1:3" s="509" customFormat="1" x14ac:dyDescent="0.2">
      <c r="B103" s="947"/>
      <c r="C103" s="938"/>
    </row>
    <row r="104" spans="1:3" s="509" customFormat="1" x14ac:dyDescent="0.2">
      <c r="A104" s="509" t="s">
        <v>1060</v>
      </c>
      <c r="B104" s="947">
        <f>IF(B88=1,IF(B94=1,1,0),0)</f>
        <v>0</v>
      </c>
      <c r="C104" s="938"/>
    </row>
    <row r="105" spans="1:3" s="509" customFormat="1" x14ac:dyDescent="0.2">
      <c r="A105" s="509" t="s">
        <v>1061</v>
      </c>
      <c r="B105" s="947">
        <f>IF(B96=1,IF(B86=1,1,0),0)</f>
        <v>0</v>
      </c>
      <c r="C105" s="938"/>
    </row>
    <row r="106" spans="1:3" s="509" customFormat="1" x14ac:dyDescent="0.2">
      <c r="B106" s="947"/>
      <c r="C106" s="938"/>
    </row>
    <row r="107" spans="1:3" s="509" customFormat="1" x14ac:dyDescent="0.2">
      <c r="A107" s="509" t="s">
        <v>1062</v>
      </c>
      <c r="B107" s="947" t="str">
        <f>IF((B89+B97+B104+B105)&gt;0,"SimplX is not required if KVS is used, also cross-brand","")</f>
        <v/>
      </c>
    </row>
    <row r="108" spans="1:3" s="509" customFormat="1" x14ac:dyDescent="0.2">
      <c r="A108" s="509" t="s">
        <v>1063</v>
      </c>
      <c r="B108" s="947" t="str">
        <f>IF(B88+B96&gt;2,"service not available for the selected brand","")</f>
        <v/>
      </c>
      <c r="C108" s="509">
        <f>LOOKUP(2,B89:B97)</f>
        <v>0</v>
      </c>
    </row>
    <row r="109" spans="1:3" s="509" customFormat="1" x14ac:dyDescent="0.2">
      <c r="A109" s="509" t="s">
        <v>1064</v>
      </c>
      <c r="B109" s="947" t="str">
        <f>B108&amp;"
"&amp;B107</f>
        <v xml:space="preserve">
</v>
      </c>
    </row>
    <row r="110" spans="1:3" s="509" customFormat="1" x14ac:dyDescent="0.2">
      <c r="B110" s="946"/>
    </row>
    <row r="111" spans="1:3" s="509" customFormat="1" x14ac:dyDescent="0.2"/>
    <row r="112" spans="1:3" s="509" customFormat="1" x14ac:dyDescent="0.2"/>
    <row r="113" s="509" customFormat="1" x14ac:dyDescent="0.2"/>
    <row r="114" s="509" customFormat="1" x14ac:dyDescent="0.2"/>
    <row r="115" s="509" customFormat="1" x14ac:dyDescent="0.2"/>
    <row r="116" s="509" customFormat="1" x14ac:dyDescent="0.2"/>
    <row r="117" s="509" customFormat="1" x14ac:dyDescent="0.2"/>
    <row r="118" s="509" customFormat="1" x14ac:dyDescent="0.2"/>
    <row r="119" s="509" customFormat="1" x14ac:dyDescent="0.2"/>
    <row r="120" s="509" customFormat="1" x14ac:dyDescent="0.2"/>
    <row r="121" s="509" customFormat="1" x14ac:dyDescent="0.2"/>
    <row r="122" s="781" customFormat="1" x14ac:dyDescent="0.2"/>
    <row r="123" s="781" customFormat="1" x14ac:dyDescent="0.2"/>
    <row r="124" s="781" customFormat="1" x14ac:dyDescent="0.2"/>
    <row r="125" s="781" customFormat="1" x14ac:dyDescent="0.2"/>
    <row r="126" s="781" customFormat="1" x14ac:dyDescent="0.2"/>
    <row r="127" s="781" customFormat="1" x14ac:dyDescent="0.2"/>
    <row r="128" s="781" customFormat="1" x14ac:dyDescent="0.2"/>
    <row r="129" s="781" customFormat="1" x14ac:dyDescent="0.2"/>
    <row r="130" s="781" customFormat="1" x14ac:dyDescent="0.2"/>
    <row r="131" s="781" customFormat="1" x14ac:dyDescent="0.2"/>
    <row r="132" s="781" customFormat="1" x14ac:dyDescent="0.2"/>
    <row r="133" s="781" customFormat="1" x14ac:dyDescent="0.2"/>
    <row r="134" s="781" customFormat="1" x14ac:dyDescent="0.2"/>
    <row r="135" s="781" customFormat="1" x14ac:dyDescent="0.2"/>
    <row r="136" s="781" customFormat="1" x14ac:dyDescent="0.2"/>
    <row r="137" s="781" customFormat="1" x14ac:dyDescent="0.2"/>
    <row r="138" s="781" customFormat="1" x14ac:dyDescent="0.2"/>
    <row r="139" s="781" customFormat="1" x14ac:dyDescent="0.2"/>
    <row r="140" s="781" customFormat="1" x14ac:dyDescent="0.2"/>
  </sheetData>
  <sheetProtection algorithmName="SHA-512" hashValue="v4wbXJ7oVF2OxTnqNm0zUBZea4SXkdmtxFTcbts2xVQ61DCc4g9SEn+j6S1AMlfVcAlr8HGe33rWm24klg9LeQ==" saltValue="pjJKB52Umo+tszUXRw16ZQ==" spinCount="100000" sheet="1" formatCells="0"/>
  <mergeCells count="8">
    <mergeCell ref="B30:D30"/>
    <mergeCell ref="J21:K21"/>
    <mergeCell ref="B8:C8"/>
    <mergeCell ref="J8:K8"/>
    <mergeCell ref="A5:K5"/>
    <mergeCell ref="B29:C29"/>
    <mergeCell ref="A6:A7"/>
    <mergeCell ref="J28:L28"/>
  </mergeCells>
  <conditionalFormatting sqref="I11:I14">
    <cfRule type="notContainsBlanks" dxfId="621" priority="166">
      <formula>LEN(TRIM(I11))&gt;0</formula>
    </cfRule>
    <cfRule type="expression" dxfId="620" priority="168">
      <formula>$B$21="! Felder befüllen"</formula>
    </cfRule>
  </conditionalFormatting>
  <conditionalFormatting sqref="I32">
    <cfRule type="cellIs" dxfId="619" priority="164" operator="equal">
      <formula>"kein Eintrag erforderlich"</formula>
    </cfRule>
  </conditionalFormatting>
  <conditionalFormatting sqref="A8">
    <cfRule type="containsText" dxfId="618" priority="114" operator="containsText" text="Select further applications !">
      <formula>NOT(ISERROR(SEARCH("Select further applications !",A8)))</formula>
    </cfRule>
    <cfRule type="containsText" dxfId="617" priority="162" operator="containsText" text="Choose applications now !">
      <formula>NOT(ISERROR(SEARCH("Choose applications now !",A8)))</formula>
    </cfRule>
  </conditionalFormatting>
  <conditionalFormatting sqref="K11">
    <cfRule type="expression" dxfId="616" priority="154">
      <formula>$C$6:$C$7=""</formula>
    </cfRule>
    <cfRule type="expression" dxfId="615" priority="251">
      <formula>$K$11=""</formula>
    </cfRule>
  </conditionalFormatting>
  <conditionalFormatting sqref="K12">
    <cfRule type="expression" dxfId="614" priority="153">
      <formula>$C$6:$C$7=""</formula>
    </cfRule>
    <cfRule type="expression" dxfId="613" priority="160">
      <formula>$K$12=""</formula>
    </cfRule>
  </conditionalFormatting>
  <conditionalFormatting sqref="K13">
    <cfRule type="expression" dxfId="612" priority="152">
      <formula>$C$6:$C$7=""</formula>
    </cfRule>
    <cfRule type="expression" dxfId="611" priority="159">
      <formula>$K$13=""</formula>
    </cfRule>
  </conditionalFormatting>
  <conditionalFormatting sqref="K14">
    <cfRule type="expression" dxfId="610" priority="151">
      <formula>$C$6:$C$7=""</formula>
    </cfRule>
    <cfRule type="expression" dxfId="609" priority="158">
      <formula>$K$14=""</formula>
    </cfRule>
  </conditionalFormatting>
  <conditionalFormatting sqref="K15">
    <cfRule type="expression" dxfId="608" priority="65">
      <formula>$C$6:$C$7=""</formula>
    </cfRule>
    <cfRule type="expression" dxfId="607" priority="157">
      <formula>$K$15=""</formula>
    </cfRule>
  </conditionalFormatting>
  <conditionalFormatting sqref="B20">
    <cfRule type="expression" dxfId="606" priority="82">
      <formula>$B$10&lt;&gt;"Audi"</formula>
    </cfRule>
    <cfRule type="expression" dxfId="605" priority="121">
      <formula>$A$8="Choose applications now !"</formula>
    </cfRule>
    <cfRule type="expression" dxfId="604" priority="145">
      <formula>$A$8="Choose applications now !"</formula>
    </cfRule>
  </conditionalFormatting>
  <conditionalFormatting sqref="C11:C13 C21:C22 C17:C18">
    <cfRule type="expression" dxfId="603" priority="214">
      <formula>$O$10=1</formula>
    </cfRule>
  </conditionalFormatting>
  <conditionalFormatting sqref="A6:A7">
    <cfRule type="expression" dxfId="602" priority="125">
      <formula>$C$6=""</formula>
    </cfRule>
  </conditionalFormatting>
  <conditionalFormatting sqref="B23">
    <cfRule type="expression" dxfId="601" priority="78">
      <formula>$B$10&lt;&gt;"Audi"</formula>
    </cfRule>
    <cfRule type="expression" dxfId="600" priority="119">
      <formula>$A$8="Choose applications now !"</formula>
    </cfRule>
  </conditionalFormatting>
  <conditionalFormatting sqref="C6">
    <cfRule type="containsBlanks" dxfId="599" priority="184">
      <formula>LEN(TRIM(C6))=0</formula>
    </cfRule>
  </conditionalFormatting>
  <conditionalFormatting sqref="B7">
    <cfRule type="expression" dxfId="598" priority="110">
      <formula>$C$6=""</formula>
    </cfRule>
  </conditionalFormatting>
  <conditionalFormatting sqref="C7">
    <cfRule type="expression" dxfId="597" priority="56">
      <formula>$C$6=""</formula>
    </cfRule>
    <cfRule type="expression" dxfId="596" priority="107">
      <formula>$C$6=""</formula>
    </cfRule>
  </conditionalFormatting>
  <conditionalFormatting sqref="C19">
    <cfRule type="expression" dxfId="595" priority="91">
      <formula>$B$56=0</formula>
    </cfRule>
    <cfRule type="expression" dxfId="594" priority="106">
      <formula>$O$10=1</formula>
    </cfRule>
  </conditionalFormatting>
  <conditionalFormatting sqref="C24">
    <cfRule type="expression" dxfId="593" priority="104">
      <formula>$O$10=1</formula>
    </cfRule>
  </conditionalFormatting>
  <conditionalFormatting sqref="C25:C27">
    <cfRule type="expression" dxfId="592" priority="103">
      <formula>$O$10=1</formula>
    </cfRule>
  </conditionalFormatting>
  <conditionalFormatting sqref="C28">
    <cfRule type="expression" dxfId="591" priority="73">
      <formula>$O$10=1</formula>
    </cfRule>
  </conditionalFormatting>
  <conditionalFormatting sqref="C23">
    <cfRule type="expression" dxfId="590" priority="98">
      <formula>$C$10&lt;&gt;"Audi"</formula>
    </cfRule>
    <cfRule type="expression" dxfId="589" priority="99">
      <formula>$O$10=1</formula>
    </cfRule>
  </conditionalFormatting>
  <conditionalFormatting sqref="C20">
    <cfRule type="expression" dxfId="588" priority="96">
      <formula>$C$10&lt;&gt;"Audi"</formula>
    </cfRule>
    <cfRule type="expression" dxfId="587" priority="97">
      <formula>$O$10=1</formula>
    </cfRule>
  </conditionalFormatting>
  <conditionalFormatting sqref="B11 B17">
    <cfRule type="expression" dxfId="586" priority="87">
      <formula>$A$8="Choose applications now !"</formula>
    </cfRule>
  </conditionalFormatting>
  <conditionalFormatting sqref="B12">
    <cfRule type="expression" dxfId="585" priority="86">
      <formula>$A$8="Choose applications now !"</formula>
    </cfRule>
  </conditionalFormatting>
  <conditionalFormatting sqref="B13">
    <cfRule type="expression" dxfId="584" priority="85">
      <formula>$A$8="Choose applications now !"</formula>
    </cfRule>
  </conditionalFormatting>
  <conditionalFormatting sqref="B18">
    <cfRule type="expression" dxfId="583" priority="23">
      <formula>$B$57=0</formula>
    </cfRule>
    <cfRule type="expression" dxfId="582" priority="90">
      <formula>$A$8="Choose applications now !"</formula>
    </cfRule>
  </conditionalFormatting>
  <conditionalFormatting sqref="B19">
    <cfRule type="expression" dxfId="581" priority="83">
      <formula>$B$55=0</formula>
    </cfRule>
    <cfRule type="expression" dxfId="580" priority="84">
      <formula>$A$8="Choose applications now !"</formula>
    </cfRule>
  </conditionalFormatting>
  <conditionalFormatting sqref="B22">
    <cfRule type="expression" dxfId="579" priority="79">
      <formula>$A$8="Choose applications now !"</formula>
    </cfRule>
  </conditionalFormatting>
  <conditionalFormatting sqref="B24">
    <cfRule type="expression" dxfId="578" priority="77">
      <formula>$A$8="Choose applications now !"</formula>
    </cfRule>
  </conditionalFormatting>
  <conditionalFormatting sqref="B25:B27">
    <cfRule type="expression" dxfId="577" priority="69">
      <formula>$A$8="Choose applications now !"</formula>
    </cfRule>
  </conditionalFormatting>
  <conditionalFormatting sqref="B28">
    <cfRule type="expression" dxfId="576" priority="20">
      <formula>$A$8="Choose applications now !"</formula>
    </cfRule>
  </conditionalFormatting>
  <conditionalFormatting sqref="B29:C29">
    <cfRule type="expression" dxfId="575" priority="14">
      <formula>$A$8="Please make your choice !"</formula>
    </cfRule>
    <cfRule type="expression" dxfId="574" priority="72">
      <formula>B81=10</formula>
    </cfRule>
  </conditionalFormatting>
  <conditionalFormatting sqref="B25">
    <cfRule type="expression" dxfId="573" priority="37">
      <formula>$C$6&lt;&gt;"Audi"</formula>
    </cfRule>
    <cfRule type="expression" dxfId="572" priority="76">
      <formula>$B$70=1</formula>
    </cfRule>
  </conditionalFormatting>
  <conditionalFormatting sqref="C25">
    <cfRule type="expression" dxfId="571" priority="22">
      <formula>$B$71=1</formula>
    </cfRule>
    <cfRule type="expression" dxfId="570" priority="68">
      <formula>$C$7&lt;&gt;"Audi"</formula>
    </cfRule>
  </conditionalFormatting>
  <conditionalFormatting sqref="K16">
    <cfRule type="expression" dxfId="569" priority="66">
      <formula>$C$6:$C$7=""</formula>
    </cfRule>
  </conditionalFormatting>
  <conditionalFormatting sqref="C14">
    <cfRule type="expression" dxfId="568" priority="51">
      <formula>$O$10=1</formula>
    </cfRule>
  </conditionalFormatting>
  <conditionalFormatting sqref="B14">
    <cfRule type="expression" dxfId="567" priority="50">
      <formula>$A$8="Choose applications now !"</formula>
    </cfRule>
  </conditionalFormatting>
  <conditionalFormatting sqref="C15:C16">
    <cfRule type="expression" dxfId="566" priority="48">
      <formula>$O$10=1</formula>
    </cfRule>
  </conditionalFormatting>
  <conditionalFormatting sqref="B15">
    <cfRule type="expression" dxfId="565" priority="46">
      <formula>$A$8="Choose applications now !"</formula>
    </cfRule>
  </conditionalFormatting>
  <conditionalFormatting sqref="B16">
    <cfRule type="expression" dxfId="564" priority="45">
      <formula>$A$8="Choose applications now !"</formula>
    </cfRule>
    <cfRule type="expression" dxfId="563" priority="2">
      <formula>$C$6&lt;&gt;""</formula>
    </cfRule>
  </conditionalFormatting>
  <conditionalFormatting sqref="B21">
    <cfRule type="expression" dxfId="562" priority="210">
      <formula>C6&lt;&gt;"Audi"</formula>
    </cfRule>
    <cfRule type="expression" dxfId="561" priority="211">
      <formula>$B$46=2</formula>
    </cfRule>
    <cfRule type="expression" dxfId="560" priority="212">
      <formula>$B$51=2</formula>
    </cfRule>
    <cfRule type="expression" dxfId="559" priority="213">
      <formula>$A$8="Choose applications now !"</formula>
    </cfRule>
  </conditionalFormatting>
  <conditionalFormatting sqref="C21">
    <cfRule type="expression" dxfId="558" priority="101">
      <formula>$C$7&lt;&gt;"Audi"</formula>
    </cfRule>
    <cfRule type="expression" dxfId="557" priority="215">
      <formula>$B$52=2</formula>
    </cfRule>
    <cfRule type="expression" dxfId="556" priority="216">
      <formula>$B$47=2</formula>
    </cfRule>
  </conditionalFormatting>
  <conditionalFormatting sqref="C10">
    <cfRule type="expression" dxfId="555" priority="246">
      <formula>$C$7=""</formula>
    </cfRule>
    <cfRule type="expression" dxfId="554" priority="247">
      <formula>COUNTBLANK($C$11:$C$28)=18</formula>
    </cfRule>
    <cfRule type="containsText" dxfId="553" priority="248" operator="containsText" text="Benennung der 1. Marke offen">
      <formula>NOT(ISERROR(SEARCH("Benennung der 1. Marke offen",C10)))</formula>
    </cfRule>
  </conditionalFormatting>
  <conditionalFormatting sqref="J8:K8">
    <cfRule type="expression" dxfId="552" priority="250">
      <formula>$K$10&gt;0</formula>
    </cfRule>
  </conditionalFormatting>
  <conditionalFormatting sqref="K11:K16">
    <cfRule type="expression" dxfId="551" priority="155">
      <formula>COUNTBLANK($B$11:$B$28)=18</formula>
    </cfRule>
  </conditionalFormatting>
  <conditionalFormatting sqref="B10">
    <cfRule type="expression" dxfId="550" priority="252">
      <formula>$C$6=""</formula>
    </cfRule>
    <cfRule type="expression" dxfId="549" priority="253">
      <formula>COUNTBLANK($B$11:$B$28)=18</formula>
    </cfRule>
  </conditionalFormatting>
  <conditionalFormatting sqref="J11">
    <cfRule type="expression" dxfId="548" priority="38">
      <formula>$C$6:$C$7=""</formula>
    </cfRule>
  </conditionalFormatting>
  <conditionalFormatting sqref="J12">
    <cfRule type="expression" dxfId="547" priority="43">
      <formula>$C$6:$C$7=""</formula>
    </cfRule>
  </conditionalFormatting>
  <conditionalFormatting sqref="J13">
    <cfRule type="expression" dxfId="546" priority="42">
      <formula>$C$6:$C$7=""</formula>
    </cfRule>
  </conditionalFormatting>
  <conditionalFormatting sqref="J14">
    <cfRule type="expression" dxfId="545" priority="41">
      <formula>$C$6:$C$7=""</formula>
    </cfRule>
  </conditionalFormatting>
  <conditionalFormatting sqref="J15">
    <cfRule type="expression" dxfId="544" priority="40">
      <formula>$C$6:$C$7=""</formula>
    </cfRule>
  </conditionalFormatting>
  <conditionalFormatting sqref="J16">
    <cfRule type="expression" dxfId="543" priority="39">
      <formula>$C$6:$C$7=""</formula>
    </cfRule>
  </conditionalFormatting>
  <conditionalFormatting sqref="J11:J16">
    <cfRule type="expression" dxfId="542" priority="44">
      <formula>COUNTBLANK($B$11:$B$28)=18</formula>
    </cfRule>
  </conditionalFormatting>
  <conditionalFormatting sqref="A8:D30">
    <cfRule type="expression" dxfId="541" priority="5">
      <formula>$C$6:$C$7=""</formula>
    </cfRule>
  </conditionalFormatting>
  <conditionalFormatting sqref="J10">
    <cfRule type="expression" dxfId="540" priority="35">
      <formula>$C$6:$C$7=""</formula>
    </cfRule>
  </conditionalFormatting>
  <conditionalFormatting sqref="D27">
    <cfRule type="expression" dxfId="539" priority="24">
      <formula>$O$28=1</formula>
    </cfRule>
    <cfRule type="cellIs" dxfId="538" priority="34" operator="equal">
      <formula>"Benennen Sie die Nutzungsstandorte --&gt;"</formula>
    </cfRule>
  </conditionalFormatting>
  <conditionalFormatting sqref="J27">
    <cfRule type="expression" dxfId="537" priority="28">
      <formula>$J$28&lt;&gt;""</formula>
    </cfRule>
    <cfRule type="expression" dxfId="536" priority="32">
      <formula>$D$27="call the locations of use --&gt;"</formula>
    </cfRule>
    <cfRule type="expression" dxfId="535" priority="33">
      <formula>$D$27=""</formula>
    </cfRule>
  </conditionalFormatting>
  <conditionalFormatting sqref="J28:L28">
    <cfRule type="expression" dxfId="534" priority="25">
      <formula>$O$28=1</formula>
    </cfRule>
    <cfRule type="expression" dxfId="533" priority="255">
      <formula>$D$27="call the locations of use --&gt;"</formula>
    </cfRule>
  </conditionalFormatting>
  <conditionalFormatting sqref="J8:L8">
    <cfRule type="expression" dxfId="532" priority="36">
      <formula>$C$6:$C$7=""</formula>
    </cfRule>
    <cfRule type="expression" dxfId="531" priority="249">
      <formula>COUNTBLANK($B$11:$B$28)=18</formula>
    </cfRule>
  </conditionalFormatting>
  <conditionalFormatting sqref="C18">
    <cfRule type="expression" dxfId="530" priority="21">
      <formula>$B$58=0</formula>
    </cfRule>
  </conditionalFormatting>
  <conditionalFormatting sqref="C11:C28">
    <cfRule type="expression" dxfId="529" priority="19">
      <formula>$C$7=""</formula>
    </cfRule>
  </conditionalFormatting>
  <conditionalFormatting sqref="D21">
    <cfRule type="expression" dxfId="528" priority="10">
      <formula>D45&lt;2</formula>
    </cfRule>
    <cfRule type="cellIs" dxfId="527" priority="18" operator="equal">
      <formula>"recommendation: order service in addition to CONNECT"</formula>
    </cfRule>
  </conditionalFormatting>
  <conditionalFormatting sqref="D25">
    <cfRule type="cellIs" dxfId="526" priority="17" operator="equal">
      <formula>"brand Audi-select of WTS mandatory for service TMZ drive"</formula>
    </cfRule>
  </conditionalFormatting>
  <conditionalFormatting sqref="L15">
    <cfRule type="cellIs" dxfId="525" priority="16" operator="equal">
      <formula>"email address incorrect, please correct"</formula>
    </cfRule>
  </conditionalFormatting>
  <conditionalFormatting sqref="M15">
    <cfRule type="cellIs" dxfId="524" priority="15" operator="equal">
      <formula>"entry mandatory"</formula>
    </cfRule>
  </conditionalFormatting>
  <conditionalFormatting sqref="B28:C28">
    <cfRule type="expression" dxfId="523" priority="102">
      <formula>$B$81=10</formula>
    </cfRule>
  </conditionalFormatting>
  <conditionalFormatting sqref="D24">
    <cfRule type="cellIs" dxfId="522" priority="12" operator="equal">
      <formula>"mandatory additional service for usage of CONNECT"</formula>
    </cfRule>
  </conditionalFormatting>
  <conditionalFormatting sqref="D28">
    <cfRule type="expression" dxfId="521" priority="11">
      <formula>B81=10</formula>
    </cfRule>
    <cfRule type="expression" dxfId="520" priority="13">
      <formula>$B$29&lt;&gt;""</formula>
    </cfRule>
  </conditionalFormatting>
  <conditionalFormatting sqref="J24">
    <cfRule type="expression" dxfId="519" priority="6">
      <formula>K24=""</formula>
    </cfRule>
    <cfRule type="expression" dxfId="518" priority="9">
      <formula>$K$24&lt;&gt;""</formula>
    </cfRule>
  </conditionalFormatting>
  <conditionalFormatting sqref="K24">
    <cfRule type="notContainsBlanks" dxfId="517" priority="7">
      <formula>LEN(TRIM(K24))&gt;0</formula>
    </cfRule>
    <cfRule type="expression" dxfId="516" priority="8">
      <formula>B82=1</formula>
    </cfRule>
  </conditionalFormatting>
  <conditionalFormatting sqref="D29">
    <cfRule type="cellIs" dxfId="515" priority="4" operator="equal">
      <formula>"notification for FAZIT: exclusively naming of the item responsible of the commissioning Volkswagen Group department on sheet - contact person VW Group"</formula>
    </cfRule>
  </conditionalFormatting>
  <conditionalFormatting sqref="C16">
    <cfRule type="expression" dxfId="514" priority="1">
      <formula>$C$7&lt;&gt;""</formula>
    </cfRule>
  </conditionalFormatting>
  <dataValidations count="4">
    <dataValidation allowBlank="1" showInputMessage="1" showErrorMessage="1" prompt="fill in IP address or service name" sqref="B29:C29" xr:uid="{00000000-0002-0000-0300-000000000000}"/>
    <dataValidation allowBlank="1" showInputMessage="1" showErrorMessage="1" prompt="data exchange via Internet" sqref="A18" xr:uid="{00000000-0002-0000-0300-000001000000}"/>
    <dataValidation allowBlank="1" showInputMessage="1" showErrorMessage="1" error="no selection possible" prompt="no selection possible" sqref="B26:C26" xr:uid="{00000000-0002-0000-0300-000002000000}"/>
    <dataValidation allowBlank="1" showInputMessage="1" showErrorMessage="1" prompt="Follow the link for further application-information" sqref="J6" xr:uid="{E1E66CD5-081E-442C-86FA-1E1ABBF7036E}"/>
  </dataValidations>
  <hyperlinks>
    <hyperlink ref="J6" r:id="rId1" xr:uid="{BA088250-591D-4183-AE9A-73190844C133}"/>
  </hyperlinks>
  <pageMargins left="0.27559055118110237" right="0.27559055118110237" top="0.27559055118110237" bottom="0.19685039370078741" header="0.19685039370078741" footer="0.19685039370078741"/>
  <pageSetup paperSize="9" scale="70" orientation="landscape" r:id="rId2"/>
  <colBreaks count="1" manualBreakCount="1">
    <brk id="9" max="1048575" man="1"/>
  </colBreaks>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error="Bitte nutzen Sie die Auswahl !" prompt="please use selection list" xr:uid="{00000000-0002-0000-0300-000003000000}">
          <x14:formula1>
            <xm:f>Tabelle1!$B$2:$B$5</xm:f>
          </x14:formula1>
          <xm:sqref>K11</xm:sqref>
        </x14:dataValidation>
        <x14:dataValidation type="list" allowBlank="1" showInputMessage="1" showErrorMessage="1" error="use selection or fill in &quot;x&quot;" prompt="mark with x" xr:uid="{00000000-0002-0000-0300-000004000000}">
          <x14:formula1>
            <xm:f>Tabelle1!$A$2</xm:f>
          </x14:formula1>
          <xm:sqref>B13:C17 B27:C28 B22:C22 B24:C24</xm:sqref>
        </x14:dataValidation>
        <x14:dataValidation type="list" allowBlank="1" showInputMessage="1" showErrorMessage="1" xr:uid="{00000000-0002-0000-0300-000005000000}">
          <x14:formula1>
            <xm:f>Tabelle1!$C$2:$C$9</xm:f>
          </x14:formula1>
          <xm:sqref>C6:C7</xm:sqref>
        </x14:dataValidation>
        <x14:dataValidation type="list" allowBlank="1" showInputMessage="1" showErrorMessage="1" error="use selection or fill in &quot;x&quot;" prompt="mark with x_x000a__x000a_note the hints on  application availability for the selected brand" xr:uid="{00000000-0002-0000-0300-000006000000}">
          <x14:formula1>
            <xm:f>Tabelle1!$A$2</xm:f>
          </x14:formula1>
          <xm:sqref>C25 B18:B20 C18:C21 B23:C23</xm:sqref>
        </x14:dataValidation>
        <x14:dataValidation type="list" allowBlank="1" showInputMessage="1" showErrorMessage="1" error="use selection or fill in &quot;x&quot;" prompt="mark with x_x000a__x000a_for brand Audi note the additonal information of Audi Methodenkommunikation" xr:uid="{00000000-0002-0000-0300-000008000000}">
          <x14:formula1>
            <xm:f>Tabelle1!$A$2</xm:f>
          </x14:formula1>
          <xm:sqref>B11:C12</xm:sqref>
        </x14:dataValidation>
        <x14:dataValidation type="list" allowBlank="1" showInputMessage="1" showErrorMessage="1" error="use selection or fill in &quot;x&quot;" prompt="mark with x_x000a__x000a_note the hints on application availability for the selected brand" xr:uid="{00000000-0002-0000-0300-000009000000}">
          <x14:formula1>
            <xm:f>Tabelle1!$A$2</xm:f>
          </x14:formula1>
          <xm:sqref>B25</xm:sqref>
        </x14:dataValidation>
        <x14:dataValidation type="list" allowBlank="1" showInputMessage="1" showErrorMessage="1" error="use selection or fill in &quot;x&quot;" prompt="mark with x_x000a__x000a_note the hints on application  availability for the selected brand" xr:uid="{00000000-0002-0000-0300-00000B000000}">
          <x14:formula1>
            <xm:f>Tabelle1!$A$2</xm:f>
          </x14:formula1>
          <xm:sqref>B21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autoPageBreaks="0"/>
  </sheetPr>
  <dimension ref="B1:S91"/>
  <sheetViews>
    <sheetView showGridLines="0" showRowColHeaders="0" showZeros="0" zoomScaleNormal="100" workbookViewId="0">
      <selection activeCell="B5" sqref="B5:I5"/>
    </sheetView>
  </sheetViews>
  <sheetFormatPr baseColWidth="10" defaultColWidth="11.42578125" defaultRowHeight="12.75" x14ac:dyDescent="0.2"/>
  <cols>
    <col min="1" max="1" width="1.42578125" style="326" customWidth="1"/>
    <col min="2" max="2" width="18.42578125" style="326" customWidth="1"/>
    <col min="3" max="3" width="18.85546875" style="327" customWidth="1"/>
    <col min="4" max="4" width="7.5703125" style="327" customWidth="1"/>
    <col min="5" max="5" width="32" style="326" customWidth="1"/>
    <col min="6" max="6" width="27.42578125" style="326" customWidth="1"/>
    <col min="7" max="7" width="41.85546875" style="326" customWidth="1"/>
    <col min="8" max="8" width="31.5703125" style="326" customWidth="1"/>
    <col min="9" max="9" width="32.28515625" style="326" customWidth="1"/>
    <col min="10" max="10" width="6.85546875" style="537" customWidth="1"/>
    <col min="11" max="11" width="17" style="456" customWidth="1"/>
    <col min="12" max="12" width="12.85546875" style="691" customWidth="1"/>
    <col min="13" max="19" width="11.42578125" style="328"/>
    <col min="20" max="16384" width="11.42578125" style="326"/>
  </cols>
  <sheetData>
    <row r="1" spans="2:19" ht="12.75" customHeight="1" x14ac:dyDescent="0.2"/>
    <row r="2" spans="2:19" ht="15.75" customHeight="1" x14ac:dyDescent="0.2">
      <c r="E2" s="1029" t="str">
        <f>IF(D69&lt;300,"previous sheets of checklist are incomplete - check all and fill in the gaps","")</f>
        <v>previous sheets of checklist are incomplete - check all and fill in the gaps</v>
      </c>
      <c r="F2" s="1029"/>
      <c r="G2" s="1029"/>
      <c r="I2" s="808" t="str">
        <f>IF($E$2="previous sheets of checklist are incomplete - check all and fill in the gaps","",IF($C$71="vollständig","OK, next step","waiting for completion"))</f>
        <v/>
      </c>
    </row>
    <row r="3" spans="2:19" ht="9" customHeight="1" x14ac:dyDescent="0.2"/>
    <row r="4" spans="2:19" ht="11.25" customHeight="1" x14ac:dyDescent="0.2">
      <c r="G4" s="571" t="str">
        <f>IF($E$2="previous sheets of checklist are incomplete - check all and fill in the gaps","",IF($B$68&gt;0,IF($C$71="vollständig","OK, next step",""),""))</f>
        <v/>
      </c>
    </row>
    <row r="5" spans="2:19" ht="136.5" customHeight="1" x14ac:dyDescent="0.2">
      <c r="B5" s="1033" t="s">
        <v>1046</v>
      </c>
      <c r="C5" s="1034"/>
      <c r="D5" s="1034"/>
      <c r="E5" s="1034"/>
      <c r="F5" s="1034"/>
      <c r="G5" s="1034"/>
      <c r="H5" s="1034"/>
      <c r="I5" s="1034"/>
      <c r="J5" s="538"/>
      <c r="L5" s="743"/>
    </row>
    <row r="6" spans="2:19" ht="4.5" hidden="1" customHeight="1" x14ac:dyDescent="0.2">
      <c r="L6" s="328"/>
    </row>
    <row r="7" spans="2:19" ht="5.25" customHeight="1" x14ac:dyDescent="0.2">
      <c r="K7" s="456" t="s">
        <v>740</v>
      </c>
      <c r="L7" s="328" t="s">
        <v>743</v>
      </c>
    </row>
    <row r="8" spans="2:19" s="329" customFormat="1" ht="21.75" customHeight="1" x14ac:dyDescent="0.25">
      <c r="B8" s="330" t="s">
        <v>842</v>
      </c>
      <c r="C8" s="1031" t="str">
        <f>IF(applications!C6="","no selection of brand on sheet applications -&gt; back to applications",IF(COUNTBLANK(applications!B11:B28)=18,"no selection of applications on sheet applications -&gt; back to applications",""))</f>
        <v>no selection of brand on sheet applications -&gt; back to applications</v>
      </c>
      <c r="D8" s="1031"/>
      <c r="E8" s="1031"/>
      <c r="F8" s="1031"/>
      <c r="G8" s="331"/>
      <c r="H8" s="331"/>
      <c r="I8" s="331"/>
      <c r="J8" s="539"/>
      <c r="K8" s="573">
        <f>IF(C8="no selection of brand on sheet applications -&gt; back to applications",1,IF(C8="no selection of applications on sheet applications -&gt; back to applications",1,0))</f>
        <v>1</v>
      </c>
      <c r="L8" s="332">
        <f>IF(C8&lt;&gt;"",10,IF(COUNTIF(C11:C28,"x")=SUM(J11:K28),1,0))</f>
        <v>10</v>
      </c>
      <c r="M8" s="332"/>
      <c r="N8" s="332"/>
      <c r="O8" s="332"/>
      <c r="P8" s="332"/>
      <c r="Q8" s="332"/>
      <c r="R8" s="332"/>
      <c r="S8" s="332"/>
    </row>
    <row r="9" spans="2:19" s="329" customFormat="1" ht="67.5" customHeight="1" x14ac:dyDescent="0.25">
      <c r="B9" s="333"/>
      <c r="C9" s="333"/>
      <c r="D9" s="497" t="s">
        <v>843</v>
      </c>
      <c r="E9" s="334"/>
      <c r="F9" s="335"/>
      <c r="G9" s="335"/>
      <c r="H9" s="1030" t="str">
        <f>IF(K8=1,"",IF(L8=1,"",IF(D9="Contact person of the brand for the selected application","CAUTION: 
- please call only 1 contact person per application, 
  further contact data can be sent by e-mail
- fill only yellow marked lines
- incorrect e-mail-addresses are red highligted ","")))</f>
        <v/>
      </c>
      <c r="I9" s="1030"/>
      <c r="J9" s="539"/>
      <c r="K9" s="573"/>
      <c r="L9" s="692"/>
      <c r="M9" s="332"/>
      <c r="N9" s="332"/>
      <c r="O9" s="332"/>
      <c r="P9" s="332"/>
      <c r="Q9" s="332"/>
      <c r="R9" s="332"/>
      <c r="S9" s="332"/>
    </row>
    <row r="10" spans="2:19" ht="22.5" x14ac:dyDescent="0.45">
      <c r="B10" s="336" t="s">
        <v>848</v>
      </c>
      <c r="C10" s="498">
        <f>applications!C6</f>
        <v>0</v>
      </c>
      <c r="D10" s="337" t="s">
        <v>844</v>
      </c>
      <c r="E10" s="338" t="s">
        <v>845</v>
      </c>
      <c r="F10" s="338" t="s">
        <v>847</v>
      </c>
      <c r="G10" s="338" t="s">
        <v>963</v>
      </c>
      <c r="H10" s="338" t="s">
        <v>846</v>
      </c>
      <c r="I10" s="338" t="s">
        <v>819</v>
      </c>
      <c r="O10" s="328" t="s">
        <v>960</v>
      </c>
      <c r="P10" s="750"/>
    </row>
    <row r="11" spans="2:19" ht="15" x14ac:dyDescent="0.25">
      <c r="B11" s="479" t="str">
        <f>applications!A11</f>
        <v>HyperKVS</v>
      </c>
      <c r="C11" s="418" t="str">
        <f>IF($C$10="","",IF(applications!B11="","",applications!B11))</f>
        <v/>
      </c>
      <c r="D11" s="635"/>
      <c r="E11" s="410"/>
      <c r="F11" s="410"/>
      <c r="G11" s="554"/>
      <c r="H11" s="682"/>
      <c r="I11" s="411"/>
      <c r="J11" s="540"/>
      <c r="K11" s="456">
        <f>IF(COUNTBLANK(D11:H11)&lt;1,IF(O11=1,1,0),0)</f>
        <v>0</v>
      </c>
      <c r="M11" s="328" t="str">
        <f>D11&amp;"; "&amp;E11&amp;"; "&amp;F11&amp;"; "&amp;G11&amp;"; "&amp;H11&amp;"; "&amp;I11</f>
        <v xml:space="preserve">; ; ; ; ; </v>
      </c>
      <c r="O11" s="328">
        <f>IF(Tabelle1!N$13="ungültig",0,1)</f>
        <v>1</v>
      </c>
      <c r="P11" s="328">
        <f t="shared" ref="P11" si="0">IF(C11="x",1,0)</f>
        <v>0</v>
      </c>
      <c r="Q11" s="328">
        <f t="shared" ref="Q11" si="1">IF(COUNTBLANK(D11:H11)=5,0,1)</f>
        <v>0</v>
      </c>
    </row>
    <row r="12" spans="2:19" ht="15" x14ac:dyDescent="0.25">
      <c r="B12" s="479" t="str">
        <f>applications!A12</f>
        <v>CONNECT</v>
      </c>
      <c r="C12" s="419" t="str">
        <f>IF($C$10="","",IF(applications!B12="","",applications!B12))</f>
        <v/>
      </c>
      <c r="D12" s="636"/>
      <c r="E12" s="412"/>
      <c r="F12" s="412"/>
      <c r="G12" s="572"/>
      <c r="H12" s="412"/>
      <c r="I12" s="413"/>
      <c r="K12" s="456">
        <f t="shared" ref="K12" si="2">IF(COUNTBLANK(D12:H12)&lt;1,IF(O12=1,1,0),0)</f>
        <v>0</v>
      </c>
      <c r="M12" s="328" t="str">
        <f t="shared" ref="M12:M28" si="3">D12&amp;"; "&amp;E12&amp;"; "&amp;F12&amp;"; "&amp;G12&amp;"; "&amp;H12&amp;"; "&amp;I12</f>
        <v xml:space="preserve">; ; ; ; ; </v>
      </c>
      <c r="O12" s="328">
        <f>IF(Tabelle1!O$13="ungültig",0,1)</f>
        <v>1</v>
      </c>
      <c r="P12" s="328">
        <f t="shared" ref="P12:P27" si="4">IF(C12="x",1,0)</f>
        <v>0</v>
      </c>
      <c r="Q12" s="328">
        <f t="shared" ref="Q12:Q27" si="5">IF(COUNTBLANK(D12:H12)=5,0,1)</f>
        <v>0</v>
      </c>
    </row>
    <row r="13" spans="2:19" ht="15" x14ac:dyDescent="0.25">
      <c r="B13" s="479" t="str">
        <f>applications!A13</f>
        <v>VW DMS</v>
      </c>
      <c r="C13" s="419" t="str">
        <f>IF($C$10="","",IF(applications!B13="","",applications!B13))</f>
        <v/>
      </c>
      <c r="D13" s="635"/>
      <c r="E13" s="410"/>
      <c r="F13" s="410"/>
      <c r="G13" s="554"/>
      <c r="H13" s="410"/>
      <c r="I13" s="411"/>
      <c r="K13" s="456">
        <f>IF(COUNTBLANK(D13:H13)&lt;1,IF(O13=1,1,0),0)</f>
        <v>0</v>
      </c>
      <c r="M13" s="328" t="str">
        <f t="shared" si="3"/>
        <v xml:space="preserve">; ; ; ; ; </v>
      </c>
      <c r="O13" s="328">
        <f>IF(Tabelle1!P$13="ungültig",0,1)</f>
        <v>1</v>
      </c>
      <c r="P13" s="328">
        <f t="shared" si="4"/>
        <v>0</v>
      </c>
      <c r="Q13" s="328">
        <f t="shared" si="5"/>
        <v>0</v>
      </c>
    </row>
    <row r="14" spans="2:19" ht="15" x14ac:dyDescent="0.25">
      <c r="B14" s="479" t="str">
        <f>applications!A14</f>
        <v>ECA</v>
      </c>
      <c r="C14" s="419" t="str">
        <f>IF($C$10="","",IF(applications!B14="","",applications!B14))</f>
        <v/>
      </c>
      <c r="D14" s="636"/>
      <c r="E14" s="412"/>
      <c r="F14" s="412"/>
      <c r="G14" s="572"/>
      <c r="H14" s="412"/>
      <c r="I14" s="413"/>
      <c r="K14" s="456">
        <f t="shared" ref="K14:K28" si="6">IF(COUNTBLANK(D14:H14)&lt;1,IF(O14=1,1,0),0)</f>
        <v>0</v>
      </c>
      <c r="M14" s="328" t="str">
        <f t="shared" si="3"/>
        <v xml:space="preserve">; ; ; ; ; </v>
      </c>
      <c r="O14" s="328">
        <f>IF(Tabelle1!Q$13="ungültig",0,1)</f>
        <v>1</v>
      </c>
      <c r="P14" s="328">
        <f t="shared" si="4"/>
        <v>0</v>
      </c>
      <c r="Q14" s="328">
        <f t="shared" si="5"/>
        <v>0</v>
      </c>
    </row>
    <row r="15" spans="2:19" ht="15" x14ac:dyDescent="0.25">
      <c r="B15" s="479" t="str">
        <f>applications!A15</f>
        <v>ZMB</v>
      </c>
      <c r="C15" s="951" t="str">
        <f>IF($C$10="","",IF(applications!B15="","",applications!B15))</f>
        <v/>
      </c>
      <c r="D15" s="952"/>
      <c r="E15" s="953"/>
      <c r="F15" s="953"/>
      <c r="G15" s="954"/>
      <c r="H15" s="953"/>
      <c r="I15" s="955"/>
      <c r="K15" s="456">
        <f t="shared" si="6"/>
        <v>0</v>
      </c>
      <c r="M15" s="328" t="str">
        <f t="shared" si="3"/>
        <v xml:space="preserve">; ; ; ; ; </v>
      </c>
      <c r="O15" s="328">
        <f>IF(Tabelle1!R$13="ungültig",0,1)</f>
        <v>1</v>
      </c>
      <c r="P15" s="328">
        <f t="shared" si="4"/>
        <v>0</v>
      </c>
      <c r="Q15" s="328">
        <f t="shared" si="5"/>
        <v>0</v>
      </c>
    </row>
    <row r="16" spans="2:19" ht="15" hidden="1" x14ac:dyDescent="0.25">
      <c r="B16" s="479">
        <f>applications!A16</f>
        <v>0</v>
      </c>
      <c r="C16" s="949" t="str">
        <f>IF($C$10="","",IF(applications!B16="","",applications!B16))</f>
        <v/>
      </c>
      <c r="D16" s="643"/>
      <c r="E16" s="644"/>
      <c r="F16" s="644"/>
      <c r="G16" s="950"/>
      <c r="H16" s="644"/>
      <c r="I16" s="646"/>
      <c r="K16" s="456">
        <f t="shared" si="6"/>
        <v>0</v>
      </c>
      <c r="M16" s="328" t="str">
        <f t="shared" si="3"/>
        <v xml:space="preserve">; ; ; ; ; </v>
      </c>
      <c r="O16" s="328">
        <f>IF(Tabelle1!S$13="ungültig",0,1)</f>
        <v>1</v>
      </c>
      <c r="P16" s="328">
        <f t="shared" si="4"/>
        <v>0</v>
      </c>
      <c r="Q16" s="328">
        <f t="shared" si="5"/>
        <v>0</v>
      </c>
    </row>
    <row r="17" spans="2:17" ht="15" x14ac:dyDescent="0.25">
      <c r="B17" s="479" t="str">
        <f>applications!A17</f>
        <v>Syncrofit</v>
      </c>
      <c r="C17" s="419" t="str">
        <f>IF($C$10="","",IF(applications!B17="","",applications!B17))</f>
        <v/>
      </c>
      <c r="D17" s="635"/>
      <c r="E17" s="410"/>
      <c r="F17" s="410"/>
      <c r="G17" s="554"/>
      <c r="H17" s="410"/>
      <c r="I17" s="411"/>
      <c r="K17" s="456">
        <f t="shared" si="6"/>
        <v>0</v>
      </c>
      <c r="M17" s="328" t="str">
        <f t="shared" si="3"/>
        <v xml:space="preserve">; ; ; ; ; </v>
      </c>
      <c r="O17" s="328">
        <f>IF(Tabelle1!T$13="ungültig",0,1)</f>
        <v>1</v>
      </c>
      <c r="P17" s="328">
        <f t="shared" si="4"/>
        <v>0</v>
      </c>
      <c r="Q17" s="328">
        <f t="shared" si="5"/>
        <v>0</v>
      </c>
    </row>
    <row r="18" spans="2:17" ht="15" x14ac:dyDescent="0.25">
      <c r="B18" s="479" t="str">
        <f>LEFT(applications!A18,5)</f>
        <v>OFTP2</v>
      </c>
      <c r="C18" s="419" t="str">
        <f>IF($C$10="","",IF(applications!B18="","",applications!B18))</f>
        <v/>
      </c>
      <c r="D18" s="636"/>
      <c r="E18" s="412"/>
      <c r="F18" s="412"/>
      <c r="G18" s="572"/>
      <c r="H18" s="412"/>
      <c r="I18" s="413"/>
      <c r="K18" s="456">
        <f t="shared" si="6"/>
        <v>0</v>
      </c>
      <c r="M18" s="328" t="str">
        <f t="shared" si="3"/>
        <v xml:space="preserve">; ; ; ; ; </v>
      </c>
      <c r="O18" s="328">
        <f>IF(Tabelle1!U$13="ungültig",0,1)</f>
        <v>1</v>
      </c>
      <c r="P18" s="328">
        <f t="shared" si="4"/>
        <v>0</v>
      </c>
      <c r="Q18" s="328">
        <f t="shared" si="5"/>
        <v>0</v>
      </c>
    </row>
    <row r="19" spans="2:17" ht="15" x14ac:dyDescent="0.25">
      <c r="B19" s="479" t="str">
        <f>applications!A19</f>
        <v>SimplX</v>
      </c>
      <c r="C19" s="419" t="str">
        <f>IF($C$10="","",IF(applications!B19="","",applications!B19))</f>
        <v/>
      </c>
      <c r="D19" s="635"/>
      <c r="E19" s="410"/>
      <c r="F19" s="410"/>
      <c r="G19" s="554"/>
      <c r="H19" s="410"/>
      <c r="I19" s="411"/>
      <c r="K19" s="456">
        <f t="shared" si="6"/>
        <v>0</v>
      </c>
      <c r="M19" s="328" t="str">
        <f t="shared" si="3"/>
        <v xml:space="preserve">; ; ; ; ; </v>
      </c>
      <c r="O19" s="328">
        <f>IF(Tabelle1!V$13="ungültig",0,1)</f>
        <v>1</v>
      </c>
      <c r="P19" s="328">
        <f t="shared" si="4"/>
        <v>0</v>
      </c>
      <c r="Q19" s="328">
        <f t="shared" si="5"/>
        <v>0</v>
      </c>
    </row>
    <row r="20" spans="2:17" ht="15" x14ac:dyDescent="0.25">
      <c r="B20" s="479" t="str">
        <f>applications!A20</f>
        <v>(TE) DMZ device</v>
      </c>
      <c r="C20" s="419" t="str">
        <f>IF($C$10="","",IF(applications!B20="","",applications!B20))</f>
        <v/>
      </c>
      <c r="D20" s="636"/>
      <c r="E20" s="412"/>
      <c r="F20" s="412"/>
      <c r="G20" s="572"/>
      <c r="H20" s="412"/>
      <c r="I20" s="413"/>
      <c r="K20" s="456">
        <f t="shared" si="6"/>
        <v>0</v>
      </c>
      <c r="M20" s="328" t="str">
        <f t="shared" si="3"/>
        <v xml:space="preserve">; ; ; ; ; </v>
      </c>
      <c r="O20" s="328">
        <f>IF(Tabelle1!W$13="ungültig",0,1)</f>
        <v>1</v>
      </c>
      <c r="P20" s="328">
        <f t="shared" si="4"/>
        <v>0</v>
      </c>
      <c r="Q20" s="328">
        <f t="shared" si="5"/>
        <v>0</v>
      </c>
    </row>
    <row r="21" spans="2:17" ht="15" x14ac:dyDescent="0.25">
      <c r="B21" s="479" t="str">
        <f>LEFT(applications!A21,12)</f>
        <v>Social media</v>
      </c>
      <c r="C21" s="419" t="str">
        <f>IF($C$10="","",IF(applications!B21="","",applications!B21))</f>
        <v/>
      </c>
      <c r="D21" s="635"/>
      <c r="E21" s="410"/>
      <c r="F21" s="410"/>
      <c r="G21" s="554"/>
      <c r="H21" s="410"/>
      <c r="I21" s="411"/>
      <c r="K21" s="456">
        <f t="shared" si="6"/>
        <v>0</v>
      </c>
      <c r="M21" s="328" t="str">
        <f t="shared" si="3"/>
        <v xml:space="preserve">; ; ; ; ; </v>
      </c>
      <c r="O21" s="328">
        <f>IF(Tabelle1!X$13="ungültig",0,1)</f>
        <v>1</v>
      </c>
      <c r="P21" s="328">
        <f t="shared" si="4"/>
        <v>0</v>
      </c>
      <c r="Q21" s="328">
        <f t="shared" si="5"/>
        <v>0</v>
      </c>
    </row>
    <row r="22" spans="2:17" ht="15" x14ac:dyDescent="0.25">
      <c r="B22" s="479" t="str">
        <f>LEFT(applications!A22,3)</f>
        <v>EDI</v>
      </c>
      <c r="C22" s="419" t="str">
        <f>IF($C$10="","",IF(applications!B22="","",applications!B22))</f>
        <v/>
      </c>
      <c r="D22" s="636"/>
      <c r="E22" s="412"/>
      <c r="F22" s="412"/>
      <c r="G22" s="572"/>
      <c r="H22" s="412"/>
      <c r="I22" s="413"/>
      <c r="K22" s="456">
        <f t="shared" si="6"/>
        <v>0</v>
      </c>
      <c r="M22" s="328" t="str">
        <f t="shared" si="3"/>
        <v xml:space="preserve">; ; ; ; ; </v>
      </c>
      <c r="O22" s="328">
        <f>IF(Tabelle1!Y$13="ungültig",0,1)</f>
        <v>1</v>
      </c>
      <c r="P22" s="328">
        <f t="shared" si="4"/>
        <v>0</v>
      </c>
      <c r="Q22" s="328">
        <f t="shared" si="5"/>
        <v>0</v>
      </c>
    </row>
    <row r="23" spans="2:17" ht="15" hidden="1" x14ac:dyDescent="0.25">
      <c r="B23" s="479" t="str">
        <f>applications!A23</f>
        <v>QTS</v>
      </c>
      <c r="C23" s="419" t="str">
        <f>IF($C$10="","",IF(applications!B23="","",applications!B23))</f>
        <v/>
      </c>
      <c r="D23" s="635"/>
      <c r="E23" s="410"/>
      <c r="F23" s="410"/>
      <c r="G23" s="554"/>
      <c r="H23" s="410"/>
      <c r="I23" s="411"/>
      <c r="K23" s="456">
        <f t="shared" si="6"/>
        <v>0</v>
      </c>
      <c r="M23" s="328" t="str">
        <f t="shared" si="3"/>
        <v xml:space="preserve">; ; ; ; ; </v>
      </c>
      <c r="O23" s="328">
        <f>IF(Tabelle1!Z$13="ungültig",0,1)</f>
        <v>1</v>
      </c>
      <c r="P23" s="328">
        <f t="shared" si="4"/>
        <v>0</v>
      </c>
      <c r="Q23" s="328">
        <f t="shared" si="5"/>
        <v>0</v>
      </c>
    </row>
    <row r="24" spans="2:17" ht="15" x14ac:dyDescent="0.25">
      <c r="B24" s="479" t="str">
        <f>applications!A24</f>
        <v>Citrix</v>
      </c>
      <c r="C24" s="419" t="str">
        <f>IF($C$10="","",IF(applications!B24="","",applications!B24))</f>
        <v/>
      </c>
      <c r="D24" s="639"/>
      <c r="E24" s="640"/>
      <c r="F24" s="640"/>
      <c r="G24" s="641"/>
      <c r="H24" s="640"/>
      <c r="I24" s="642"/>
      <c r="K24" s="456">
        <f t="shared" si="6"/>
        <v>0</v>
      </c>
      <c r="M24" s="328" t="str">
        <f t="shared" si="3"/>
        <v xml:space="preserve">; ; ; ; ; </v>
      </c>
      <c r="O24" s="328">
        <f>IF(Tabelle1!AA$13="ungültig",0,1)</f>
        <v>1</v>
      </c>
      <c r="P24" s="328">
        <f t="shared" si="4"/>
        <v>0</v>
      </c>
      <c r="Q24" s="328">
        <f t="shared" si="5"/>
        <v>0</v>
      </c>
    </row>
    <row r="25" spans="2:17" ht="15" x14ac:dyDescent="0.25">
      <c r="B25" s="479" t="str">
        <f>applications!A25</f>
        <v>WTS</v>
      </c>
      <c r="C25" s="419" t="str">
        <f>IF($C$10="","",IF(applications!B25="","",applications!B25))</f>
        <v/>
      </c>
      <c r="D25" s="647"/>
      <c r="E25" s="648"/>
      <c r="F25" s="648"/>
      <c r="G25" s="649"/>
      <c r="H25" s="648"/>
      <c r="I25" s="650"/>
      <c r="K25" s="456">
        <f t="shared" si="6"/>
        <v>0</v>
      </c>
      <c r="M25" s="328" t="str">
        <f t="shared" si="3"/>
        <v xml:space="preserve">; ; ; ; ; </v>
      </c>
      <c r="O25" s="328">
        <f>IF(Tabelle1!AB$13="ungültig",0,1)</f>
        <v>1</v>
      </c>
      <c r="P25" s="328">
        <f t="shared" si="4"/>
        <v>0</v>
      </c>
      <c r="Q25" s="328">
        <f t="shared" si="5"/>
        <v>0</v>
      </c>
    </row>
    <row r="26" spans="2:17" ht="15" hidden="1" x14ac:dyDescent="0.25">
      <c r="B26" s="479">
        <f>applications!A26</f>
        <v>0</v>
      </c>
      <c r="C26" s="419" t="str">
        <f>IF($C$10="","",IF(applications!B26="","",applications!B26))</f>
        <v/>
      </c>
      <c r="D26" s="643"/>
      <c r="E26" s="644"/>
      <c r="F26" s="644"/>
      <c r="G26" s="645"/>
      <c r="H26" s="644"/>
      <c r="I26" s="646"/>
      <c r="K26" s="456">
        <f t="shared" si="6"/>
        <v>0</v>
      </c>
      <c r="M26" s="328" t="str">
        <f t="shared" si="3"/>
        <v xml:space="preserve">; ; ; ; ; </v>
      </c>
      <c r="O26" s="328">
        <v>10</v>
      </c>
      <c r="P26" s="328">
        <f t="shared" si="4"/>
        <v>0</v>
      </c>
      <c r="Q26" s="328">
        <f t="shared" si="5"/>
        <v>0</v>
      </c>
    </row>
    <row r="27" spans="2:17" ht="15" x14ac:dyDescent="0.25">
      <c r="B27" s="479" t="str">
        <f>applications!A27</f>
        <v>JIT</v>
      </c>
      <c r="C27" s="419" t="str">
        <f>IF($C$10="","",IF(applications!B27="","",applications!B27))</f>
        <v/>
      </c>
      <c r="D27" s="635"/>
      <c r="E27" s="410"/>
      <c r="F27" s="410"/>
      <c r="G27" s="554"/>
      <c r="H27" s="410"/>
      <c r="I27" s="411"/>
      <c r="K27" s="456">
        <f t="shared" si="6"/>
        <v>0</v>
      </c>
      <c r="M27" s="328" t="str">
        <f t="shared" si="3"/>
        <v xml:space="preserve">; ; ; ; ; </v>
      </c>
      <c r="O27" s="328">
        <f>IF(Tabelle1!AC$13="ungültig",0,1)</f>
        <v>1</v>
      </c>
      <c r="P27" s="328">
        <f t="shared" si="4"/>
        <v>0</v>
      </c>
      <c r="Q27" s="328">
        <f t="shared" si="5"/>
        <v>0</v>
      </c>
    </row>
    <row r="28" spans="2:17" ht="15" x14ac:dyDescent="0.25">
      <c r="B28" s="479" t="str">
        <f>LEFT(applications!A28,17)</f>
        <v xml:space="preserve">further services </v>
      </c>
      <c r="C28" s="419" t="str">
        <f>IF($C$10="","",IF(applications!B28="","",applications!B28))</f>
        <v/>
      </c>
      <c r="D28" s="636"/>
      <c r="E28" s="412"/>
      <c r="F28" s="412"/>
      <c r="G28" s="572"/>
      <c r="H28" s="412"/>
      <c r="I28" s="413"/>
      <c r="K28" s="456">
        <f t="shared" si="6"/>
        <v>0</v>
      </c>
      <c r="M28" s="328" t="str">
        <f t="shared" si="3"/>
        <v xml:space="preserve">; ; ; ; ; </v>
      </c>
      <c r="O28" s="328">
        <f>IF(Tabelle1!AD$13="ungültig",0,1)</f>
        <v>1</v>
      </c>
      <c r="P28" s="328">
        <f>IF(C28="x",1,0)</f>
        <v>0</v>
      </c>
      <c r="Q28" s="328">
        <f>IF(COUNTBLANK(D28:H28)=5,0,1)</f>
        <v>0</v>
      </c>
    </row>
    <row r="29" spans="2:17" ht="13.5" customHeight="1" x14ac:dyDescent="0.2">
      <c r="B29" s="480"/>
      <c r="C29" s="742" t="str">
        <f>IF(applications!D78="fazit",IF(applications!B28="x","CAUTION: for application FAZIT exclusively naming of the item responsible of the commissioning Volkswagen Group department",""),"")</f>
        <v/>
      </c>
    </row>
    <row r="30" spans="2:17" ht="7.5" customHeight="1" x14ac:dyDescent="0.2">
      <c r="B30" s="480"/>
      <c r="C30" s="420"/>
    </row>
    <row r="31" spans="2:17" ht="17.25" customHeight="1" x14ac:dyDescent="0.2">
      <c r="B31" s="330" t="s">
        <v>849</v>
      </c>
      <c r="C31" s="1032" t="str">
        <f>IF(applications!C7="","at first select a brand of VW Group -&gt; back to sheet applications",IF(applications!D7="CAUTION ! 2* same brand selected - correct them","2. brand may not be identical with the 1st one - correct them on sheet applications",IF(COUNTBLANK(applications!C11:C28)=18,"selection of applications for the selected brand is pending -&gt; back to sheet applications",IF(C8="at first select a brand of VW Group -&gt; back to sheet applications","selection of brand 1 is incomplete - completion of the 2nd brand is waiting for brand 1 finalization",""))))</f>
        <v>at first select a brand of VW Group -&gt; back to sheet applications</v>
      </c>
      <c r="D31" s="1032"/>
      <c r="E31" s="1032"/>
      <c r="F31" s="1032"/>
      <c r="G31" s="339"/>
      <c r="H31" s="339"/>
      <c r="I31" s="339"/>
      <c r="K31" s="573">
        <f>IF(C31="at first select a brand of VW Group -&gt; back to sheet applications",1,IF(C31="selection of applications for the selected brand is pending -&gt; back to sheet applications",1,IF(C31="2. brand may not be identical with the 1st one - correct them on sheet applications",1,IF(C31="selection of brand 1 is incomplete - completion of the 2nd brand is waiting for brand 1 finalization",1,0))))</f>
        <v>1</v>
      </c>
      <c r="L31" s="328" t="s">
        <v>742</v>
      </c>
    </row>
    <row r="32" spans="2:17" ht="76.5" customHeight="1" x14ac:dyDescent="0.2">
      <c r="B32" s="481"/>
      <c r="C32" s="336"/>
      <c r="D32" s="497" t="s">
        <v>843</v>
      </c>
      <c r="E32" s="340"/>
      <c r="F32" s="340"/>
      <c r="G32" s="340"/>
      <c r="H32" s="1030" t="str">
        <f>IF(K31=1,"",IF(L32=1,"",IF(D32="Contact person of the brand for the selected application","CAUTION: 
- please call only 1 contact person per application, 
  further contact data can be sent by e-mail
- fill only yellow marked lines
- incorrect e-mail-addresses are red highligted","")))</f>
        <v/>
      </c>
      <c r="I32" s="1030"/>
      <c r="K32" s="573"/>
      <c r="L32" s="332">
        <f>IF(C31&lt;&gt;"",10,IF(COUNTIF(C34:C51,"x")=SUM(J34:K51),1,0))</f>
        <v>10</v>
      </c>
    </row>
    <row r="33" spans="2:19" ht="18.75" customHeight="1" x14ac:dyDescent="0.25">
      <c r="B33" s="336" t="s">
        <v>848</v>
      </c>
      <c r="C33" s="373">
        <f>IF(applications!D7="ACHTUNG ! 2* gleiche Marke gewählt - korrigieren","",applications!C7)</f>
        <v>0</v>
      </c>
      <c r="D33" s="337" t="s">
        <v>844</v>
      </c>
      <c r="E33" s="338" t="s">
        <v>845</v>
      </c>
      <c r="F33" s="338" t="s">
        <v>847</v>
      </c>
      <c r="G33" s="338" t="s">
        <v>963</v>
      </c>
      <c r="H33" s="338" t="s">
        <v>846</v>
      </c>
      <c r="I33" s="338" t="s">
        <v>819</v>
      </c>
    </row>
    <row r="34" spans="2:19" ht="15" x14ac:dyDescent="0.25">
      <c r="B34" s="479" t="str">
        <f>applications!A11</f>
        <v>HyperKVS</v>
      </c>
      <c r="C34" s="419" t="str">
        <f>IF(applications!$C$7="","",IF(applications!C11="","",applications!C11))</f>
        <v/>
      </c>
      <c r="D34" s="636"/>
      <c r="E34" s="412"/>
      <c r="F34" s="412"/>
      <c r="G34" s="572"/>
      <c r="H34" s="412"/>
      <c r="I34" s="412"/>
      <c r="K34" s="456">
        <f t="shared" ref="K34:K51" si="7">IF(COUNTBLANK(D34:H34)&lt;1,IF(O34=1,1,0),0)</f>
        <v>0</v>
      </c>
      <c r="M34" s="328" t="str">
        <f>D34&amp;"; "&amp;E34&amp;"; "&amp;F34&amp;"; "&amp;G34&amp;"; "&amp;H34&amp;"; "&amp;I34</f>
        <v xml:space="preserve">; ; ; ; ; </v>
      </c>
      <c r="O34" s="574">
        <f>IF(Tabelle1!AE$13="ungültig",0,1)</f>
        <v>1</v>
      </c>
      <c r="P34" s="328">
        <f>IF(C34="x",1,0)</f>
        <v>0</v>
      </c>
      <c r="Q34" s="328">
        <f>IF(COUNTBLANK(D34:H34)=5,0,1)</f>
        <v>0</v>
      </c>
    </row>
    <row r="35" spans="2:19" ht="15" x14ac:dyDescent="0.25">
      <c r="B35" s="479" t="str">
        <f>applications!A12</f>
        <v>CONNECT</v>
      </c>
      <c r="C35" s="419" t="str">
        <f>IF(applications!$C$7="","",IF(applications!C12="","",applications!C12))</f>
        <v/>
      </c>
      <c r="D35" s="636"/>
      <c r="E35" s="412"/>
      <c r="F35" s="412"/>
      <c r="G35" s="572"/>
      <c r="H35" s="412"/>
      <c r="I35" s="412"/>
      <c r="K35" s="456">
        <f t="shared" si="7"/>
        <v>0</v>
      </c>
      <c r="M35" s="328" t="str">
        <f t="shared" ref="M35:M51" si="8">D35&amp;"; "&amp;E35&amp;"; "&amp;F35&amp;"; "&amp;G35&amp;"; "&amp;H35&amp;"; "&amp;I35</f>
        <v xml:space="preserve">; ; ; ; ; </v>
      </c>
      <c r="O35" s="328">
        <f>IF(Tabelle1!AF$13="ungültig",0,1)</f>
        <v>1</v>
      </c>
      <c r="P35" s="328">
        <f t="shared" ref="P35:P51" si="9">IF(C35="x",1,0)</f>
        <v>0</v>
      </c>
      <c r="Q35" s="328">
        <f t="shared" ref="Q35:Q51" si="10">IF(COUNTBLANK(D35:H35)=5,0,1)</f>
        <v>0</v>
      </c>
    </row>
    <row r="36" spans="2:19" s="450" customFormat="1" ht="15" x14ac:dyDescent="0.25">
      <c r="B36" s="479" t="str">
        <f>applications!A13</f>
        <v>VW DMS</v>
      </c>
      <c r="C36" s="452" t="str">
        <f>IF(applications!$C$7="","",IF(applications!C13="","",applications!C13))</f>
        <v/>
      </c>
      <c r="D36" s="637"/>
      <c r="E36" s="755"/>
      <c r="F36" s="755"/>
      <c r="G36" s="572"/>
      <c r="H36" s="755"/>
      <c r="I36" s="453"/>
      <c r="J36" s="537"/>
      <c r="K36" s="456">
        <f t="shared" si="7"/>
        <v>0</v>
      </c>
      <c r="L36" s="691"/>
      <c r="M36" s="328" t="str">
        <f t="shared" si="8"/>
        <v xml:space="preserve">; ; ; ; ; </v>
      </c>
      <c r="N36" s="328"/>
      <c r="O36" s="328">
        <f>IF(Tabelle1!AG$13="ungültig",0,1)</f>
        <v>1</v>
      </c>
      <c r="P36" s="328">
        <f t="shared" si="9"/>
        <v>0</v>
      </c>
      <c r="Q36" s="328">
        <f t="shared" si="10"/>
        <v>0</v>
      </c>
      <c r="R36" s="328"/>
      <c r="S36" s="328"/>
    </row>
    <row r="37" spans="2:19" s="450" customFormat="1" ht="15" x14ac:dyDescent="0.25">
      <c r="B37" s="479" t="str">
        <f>applications!A14</f>
        <v>ECA</v>
      </c>
      <c r="C37" s="452" t="str">
        <f>IF(applications!$C$7="","",IF(applications!C14="","",applications!C14))</f>
        <v/>
      </c>
      <c r="D37" s="637"/>
      <c r="E37" s="755"/>
      <c r="F37" s="755"/>
      <c r="G37" s="572"/>
      <c r="H37" s="755"/>
      <c r="I37" s="453"/>
      <c r="J37" s="537"/>
      <c r="K37" s="456">
        <f t="shared" si="7"/>
        <v>0</v>
      </c>
      <c r="L37" s="691"/>
      <c r="M37" s="328" t="str">
        <f t="shared" si="8"/>
        <v xml:space="preserve">; ; ; ; ; </v>
      </c>
      <c r="N37" s="328"/>
      <c r="O37" s="328">
        <f>IF(Tabelle1!AH$13="ungültig",0,1)</f>
        <v>1</v>
      </c>
      <c r="P37" s="328">
        <f t="shared" si="9"/>
        <v>0</v>
      </c>
      <c r="Q37" s="328">
        <f t="shared" si="10"/>
        <v>0</v>
      </c>
      <c r="R37" s="328"/>
      <c r="S37" s="328"/>
    </row>
    <row r="38" spans="2:19" s="450" customFormat="1" ht="15" x14ac:dyDescent="0.25">
      <c r="B38" s="479" t="str">
        <f>applications!A15</f>
        <v>ZMB</v>
      </c>
      <c r="C38" s="452" t="str">
        <f>IF(applications!$C$7="","",IF(applications!C15="","",applications!C15))</f>
        <v/>
      </c>
      <c r="D38" s="754"/>
      <c r="E38" s="755"/>
      <c r="F38" s="755"/>
      <c r="G38" s="572"/>
      <c r="H38" s="755"/>
      <c r="I38" s="453"/>
      <c r="J38" s="537"/>
      <c r="K38" s="456">
        <f t="shared" si="7"/>
        <v>0</v>
      </c>
      <c r="L38" s="691"/>
      <c r="M38" s="328" t="str">
        <f t="shared" si="8"/>
        <v xml:space="preserve">; ; ; ; ; </v>
      </c>
      <c r="N38" s="328"/>
      <c r="O38" s="328">
        <f>IF(Tabelle1!AI$13="ungültig",0,1)</f>
        <v>1</v>
      </c>
      <c r="P38" s="328">
        <f t="shared" si="9"/>
        <v>0</v>
      </c>
      <c r="Q38" s="328">
        <f t="shared" si="10"/>
        <v>0</v>
      </c>
      <c r="R38" s="328"/>
      <c r="S38" s="328"/>
    </row>
    <row r="39" spans="2:19" s="450" customFormat="1" ht="15" hidden="1" x14ac:dyDescent="0.25">
      <c r="B39" s="479">
        <f>applications!A16</f>
        <v>0</v>
      </c>
      <c r="C39" s="452" t="str">
        <f>IF(applications!$C$7="","",IF(applications!C16="","",applications!C16))</f>
        <v/>
      </c>
      <c r="D39" s="754"/>
      <c r="E39" s="755"/>
      <c r="F39" s="755"/>
      <c r="G39" s="572"/>
      <c r="H39" s="755"/>
      <c r="I39" s="453"/>
      <c r="J39" s="537"/>
      <c r="K39" s="456">
        <f t="shared" si="7"/>
        <v>0</v>
      </c>
      <c r="L39" s="691"/>
      <c r="M39" s="328" t="str">
        <f t="shared" si="8"/>
        <v xml:space="preserve">; ; ; ; ; </v>
      </c>
      <c r="N39" s="328"/>
      <c r="O39" s="328">
        <f>IF(Tabelle1!AJ$13="ungültig",0,1)</f>
        <v>1</v>
      </c>
      <c r="P39" s="328">
        <f t="shared" si="9"/>
        <v>0</v>
      </c>
      <c r="Q39" s="328">
        <f t="shared" si="10"/>
        <v>0</v>
      </c>
      <c r="R39" s="328"/>
      <c r="S39" s="328"/>
    </row>
    <row r="40" spans="2:19" s="450" customFormat="1" ht="15" x14ac:dyDescent="0.25">
      <c r="B40" s="479" t="str">
        <f>applications!A17</f>
        <v>Syncrofit</v>
      </c>
      <c r="C40" s="452" t="str">
        <f>IF(applications!$C$7="","",IF(applications!C17="","",applications!C17))</f>
        <v/>
      </c>
      <c r="D40" s="754"/>
      <c r="E40" s="755"/>
      <c r="F40" s="755"/>
      <c r="G40" s="572"/>
      <c r="H40" s="755"/>
      <c r="I40" s="453"/>
      <c r="J40" s="537"/>
      <c r="K40" s="456">
        <f t="shared" si="7"/>
        <v>0</v>
      </c>
      <c r="L40" s="691"/>
      <c r="M40" s="328" t="str">
        <f t="shared" si="8"/>
        <v xml:space="preserve">; ; ; ; ; </v>
      </c>
      <c r="N40" s="328"/>
      <c r="O40" s="328">
        <f>IF(Tabelle1!AK$13="ungültig",0,1)</f>
        <v>1</v>
      </c>
      <c r="P40" s="328">
        <f t="shared" si="9"/>
        <v>0</v>
      </c>
      <c r="Q40" s="328">
        <f t="shared" si="10"/>
        <v>0</v>
      </c>
      <c r="R40" s="328"/>
      <c r="S40" s="328"/>
    </row>
    <row r="41" spans="2:19" s="450" customFormat="1" ht="15" x14ac:dyDescent="0.25">
      <c r="B41" s="479" t="str">
        <f>LEFT(applications!A18,5)</f>
        <v>OFTP2</v>
      </c>
      <c r="C41" s="452" t="str">
        <f>IF(applications!$C$7="","",IF(applications!C18="","",applications!C18))</f>
        <v/>
      </c>
      <c r="D41" s="754"/>
      <c r="E41" s="755"/>
      <c r="F41" s="755"/>
      <c r="G41" s="572"/>
      <c r="H41" s="755"/>
      <c r="I41" s="453"/>
      <c r="J41" s="537"/>
      <c r="K41" s="456">
        <f t="shared" si="7"/>
        <v>0</v>
      </c>
      <c r="L41" s="691"/>
      <c r="M41" s="328" t="str">
        <f t="shared" si="8"/>
        <v xml:space="preserve">; ; ; ; ; </v>
      </c>
      <c r="N41" s="328"/>
      <c r="O41" s="328">
        <f>IF(Tabelle1!AL$13="ungültig",0,1)</f>
        <v>1</v>
      </c>
      <c r="P41" s="328">
        <f t="shared" si="9"/>
        <v>0</v>
      </c>
      <c r="Q41" s="328">
        <f t="shared" si="10"/>
        <v>0</v>
      </c>
      <c r="R41" s="328"/>
      <c r="S41" s="328"/>
    </row>
    <row r="42" spans="2:19" s="450" customFormat="1" ht="15" x14ac:dyDescent="0.25">
      <c r="B42" s="479" t="str">
        <f>applications!A19</f>
        <v>SimplX</v>
      </c>
      <c r="C42" s="452" t="str">
        <f>IF(applications!$C$7="","",IF(applications!C19="","",applications!C19))</f>
        <v/>
      </c>
      <c r="D42" s="754"/>
      <c r="E42" s="755"/>
      <c r="F42" s="755"/>
      <c r="G42" s="572"/>
      <c r="H42" s="755"/>
      <c r="I42" s="453"/>
      <c r="J42" s="537"/>
      <c r="K42" s="456">
        <f t="shared" si="7"/>
        <v>0</v>
      </c>
      <c r="L42" s="691"/>
      <c r="M42" s="328" t="str">
        <f t="shared" si="8"/>
        <v xml:space="preserve">; ; ; ; ; </v>
      </c>
      <c r="N42" s="328"/>
      <c r="O42" s="328">
        <f>IF(Tabelle1!AM$13="ungültig",0,1)</f>
        <v>1</v>
      </c>
      <c r="P42" s="328">
        <f t="shared" si="9"/>
        <v>0</v>
      </c>
      <c r="Q42" s="328">
        <f t="shared" si="10"/>
        <v>0</v>
      </c>
      <c r="R42" s="328"/>
      <c r="S42" s="328"/>
    </row>
    <row r="43" spans="2:19" s="450" customFormat="1" ht="15" x14ac:dyDescent="0.25">
      <c r="B43" s="479" t="str">
        <f>applications!A20</f>
        <v>(TE) DMZ device</v>
      </c>
      <c r="C43" s="452" t="str">
        <f>IF(applications!$C$7="","",IF(applications!C20="","",applications!C20))</f>
        <v/>
      </c>
      <c r="D43" s="754"/>
      <c r="E43" s="755"/>
      <c r="F43" s="755"/>
      <c r="G43" s="572"/>
      <c r="H43" s="755"/>
      <c r="I43" s="453"/>
      <c r="J43" s="537"/>
      <c r="K43" s="456">
        <f t="shared" si="7"/>
        <v>0</v>
      </c>
      <c r="L43" s="691"/>
      <c r="M43" s="328" t="str">
        <f t="shared" si="8"/>
        <v xml:space="preserve">; ; ; ; ; </v>
      </c>
      <c r="N43" s="328"/>
      <c r="O43" s="328">
        <f>IF(Tabelle1!AN$13="ungültig",0,1)</f>
        <v>1</v>
      </c>
      <c r="P43" s="328">
        <f t="shared" si="9"/>
        <v>0</v>
      </c>
      <c r="Q43" s="328">
        <f t="shared" si="10"/>
        <v>0</v>
      </c>
      <c r="R43" s="328"/>
      <c r="S43" s="328"/>
    </row>
    <row r="44" spans="2:19" s="450" customFormat="1" ht="15" x14ac:dyDescent="0.25">
      <c r="B44" s="479" t="str">
        <f>LEFT(applications!A21,12)</f>
        <v>Social media</v>
      </c>
      <c r="C44" s="452" t="str">
        <f>IF(applications!$C$7="","",IF(applications!C21="","",applications!C21))</f>
        <v/>
      </c>
      <c r="D44" s="754"/>
      <c r="E44" s="755"/>
      <c r="F44" s="755"/>
      <c r="G44" s="572"/>
      <c r="H44" s="755"/>
      <c r="I44" s="453"/>
      <c r="J44" s="537"/>
      <c r="K44" s="456">
        <f t="shared" si="7"/>
        <v>0</v>
      </c>
      <c r="L44" s="691"/>
      <c r="M44" s="328" t="str">
        <f t="shared" si="8"/>
        <v xml:space="preserve">; ; ; ; ; </v>
      </c>
      <c r="N44" s="328"/>
      <c r="O44" s="328">
        <f>IF(Tabelle1!AO$13="ungültig",0,1)</f>
        <v>1</v>
      </c>
      <c r="P44" s="328">
        <f t="shared" si="9"/>
        <v>0</v>
      </c>
      <c r="Q44" s="328">
        <f t="shared" si="10"/>
        <v>0</v>
      </c>
      <c r="R44" s="328"/>
      <c r="S44" s="328"/>
    </row>
    <row r="45" spans="2:19" s="450" customFormat="1" ht="15" x14ac:dyDescent="0.25">
      <c r="B45" s="479" t="str">
        <f>LEFT(applications!A22,3)</f>
        <v>EDI</v>
      </c>
      <c r="C45" s="452" t="str">
        <f>IF(applications!$C$7="","",IF(applications!C22="","",applications!C22))</f>
        <v/>
      </c>
      <c r="D45" s="754"/>
      <c r="E45" s="755"/>
      <c r="F45" s="755"/>
      <c r="G45" s="572"/>
      <c r="H45" s="755"/>
      <c r="I45" s="453"/>
      <c r="J45" s="537"/>
      <c r="K45" s="456">
        <f t="shared" si="7"/>
        <v>0</v>
      </c>
      <c r="L45" s="691"/>
      <c r="M45" s="328" t="str">
        <f t="shared" si="8"/>
        <v xml:space="preserve">; ; ; ; ; </v>
      </c>
      <c r="N45" s="328"/>
      <c r="O45" s="328">
        <f>IF(Tabelle1!AP$13="ungültig",0,1)</f>
        <v>1</v>
      </c>
      <c r="P45" s="328">
        <f t="shared" si="9"/>
        <v>0</v>
      </c>
      <c r="Q45" s="328">
        <f t="shared" si="10"/>
        <v>0</v>
      </c>
      <c r="R45" s="328"/>
      <c r="S45" s="328"/>
    </row>
    <row r="46" spans="2:19" s="450" customFormat="1" ht="15" hidden="1" x14ac:dyDescent="0.25">
      <c r="B46" s="479" t="str">
        <f>applications!A23</f>
        <v>QTS</v>
      </c>
      <c r="C46" s="452" t="str">
        <f>IF(applications!$C$7="","",IF(applications!C23="","",applications!C23))</f>
        <v/>
      </c>
      <c r="D46" s="754"/>
      <c r="E46" s="755"/>
      <c r="F46" s="755"/>
      <c r="G46" s="572"/>
      <c r="H46" s="755"/>
      <c r="I46" s="453"/>
      <c r="J46" s="537"/>
      <c r="K46" s="456">
        <f t="shared" si="7"/>
        <v>0</v>
      </c>
      <c r="L46" s="691"/>
      <c r="M46" s="328" t="str">
        <f t="shared" si="8"/>
        <v xml:space="preserve">; ; ; ; ; </v>
      </c>
      <c r="N46" s="328"/>
      <c r="O46" s="328">
        <f>IF(Tabelle1!AQ$13="ungültig",0,1)</f>
        <v>1</v>
      </c>
      <c r="P46" s="328">
        <f t="shared" si="9"/>
        <v>0</v>
      </c>
      <c r="Q46" s="328">
        <f t="shared" si="10"/>
        <v>0</v>
      </c>
      <c r="R46" s="328"/>
      <c r="S46" s="328"/>
    </row>
    <row r="47" spans="2:19" s="450" customFormat="1" ht="15" x14ac:dyDescent="0.25">
      <c r="B47" s="479" t="str">
        <f>applications!A24</f>
        <v>Citrix</v>
      </c>
      <c r="C47" s="452" t="str">
        <f>IF(applications!$C$7="","",IF(applications!C24="","",applications!C24))</f>
        <v/>
      </c>
      <c r="D47" s="754"/>
      <c r="E47" s="755"/>
      <c r="F47" s="755"/>
      <c r="G47" s="572"/>
      <c r="H47" s="755"/>
      <c r="I47" s="453"/>
      <c r="J47" s="537"/>
      <c r="K47" s="456">
        <f t="shared" si="7"/>
        <v>0</v>
      </c>
      <c r="L47" s="691"/>
      <c r="M47" s="328" t="str">
        <f t="shared" si="8"/>
        <v xml:space="preserve">; ; ; ; ; </v>
      </c>
      <c r="N47" s="328"/>
      <c r="O47" s="328">
        <f>IF(Tabelle1!AR$13="ungültig",0,1)</f>
        <v>1</v>
      </c>
      <c r="P47" s="328">
        <f t="shared" si="9"/>
        <v>0</v>
      </c>
      <c r="Q47" s="328">
        <f t="shared" si="10"/>
        <v>0</v>
      </c>
      <c r="R47" s="328"/>
      <c r="S47" s="328"/>
    </row>
    <row r="48" spans="2:19" s="450" customFormat="1" ht="15" x14ac:dyDescent="0.25">
      <c r="B48" s="479" t="str">
        <f>applications!A25</f>
        <v>WTS</v>
      </c>
      <c r="C48" s="452" t="str">
        <f>IF(applications!$C$7="","",IF(applications!C25="","",applications!C25))</f>
        <v/>
      </c>
      <c r="D48" s="754"/>
      <c r="E48" s="755"/>
      <c r="F48" s="755"/>
      <c r="G48" s="572"/>
      <c r="H48" s="755"/>
      <c r="I48" s="453"/>
      <c r="J48" s="537"/>
      <c r="K48" s="456">
        <f t="shared" si="7"/>
        <v>0</v>
      </c>
      <c r="L48" s="691"/>
      <c r="M48" s="328" t="str">
        <f t="shared" si="8"/>
        <v xml:space="preserve">; ; ; ; ; </v>
      </c>
      <c r="N48" s="328"/>
      <c r="O48" s="328">
        <f>IF(Tabelle1!AS$13="ungültig",0,1)</f>
        <v>1</v>
      </c>
      <c r="P48" s="328">
        <f t="shared" si="9"/>
        <v>0</v>
      </c>
      <c r="Q48" s="328">
        <f t="shared" si="10"/>
        <v>0</v>
      </c>
      <c r="R48" s="328"/>
      <c r="S48" s="328"/>
    </row>
    <row r="49" spans="2:19" s="450" customFormat="1" hidden="1" x14ac:dyDescent="0.2">
      <c r="B49" s="479">
        <f>applications!A26</f>
        <v>0</v>
      </c>
      <c r="C49" s="452" t="str">
        <f>IF(applications!$C$7="","",IF(applications!C26="","",applications!C26))</f>
        <v/>
      </c>
      <c r="D49" s="638"/>
      <c r="E49" s="453"/>
      <c r="F49" s="453"/>
      <c r="G49" s="545"/>
      <c r="H49" s="453"/>
      <c r="I49" s="453"/>
      <c r="J49" s="537"/>
      <c r="K49" s="456">
        <f t="shared" si="7"/>
        <v>0</v>
      </c>
      <c r="L49" s="691"/>
      <c r="M49" s="328" t="str">
        <f t="shared" si="8"/>
        <v xml:space="preserve">; ; ; ; ; </v>
      </c>
      <c r="N49" s="328"/>
      <c r="O49" s="328">
        <v>10</v>
      </c>
      <c r="P49" s="328">
        <f t="shared" si="9"/>
        <v>0</v>
      </c>
      <c r="Q49" s="328">
        <f t="shared" si="10"/>
        <v>0</v>
      </c>
      <c r="R49" s="328"/>
      <c r="S49" s="328"/>
    </row>
    <row r="50" spans="2:19" s="450" customFormat="1" ht="15" x14ac:dyDescent="0.25">
      <c r="B50" s="479" t="str">
        <f>applications!A27</f>
        <v>JIT</v>
      </c>
      <c r="C50" s="452" t="str">
        <f>IF(applications!$C$7="","",IF(applications!C27="","",applications!C27))</f>
        <v/>
      </c>
      <c r="D50" s="754"/>
      <c r="E50" s="755"/>
      <c r="F50" s="755"/>
      <c r="G50" s="572"/>
      <c r="H50" s="755"/>
      <c r="I50" s="453"/>
      <c r="J50" s="537"/>
      <c r="K50" s="456">
        <f t="shared" si="7"/>
        <v>0</v>
      </c>
      <c r="L50" s="691"/>
      <c r="M50" s="328" t="str">
        <f t="shared" si="8"/>
        <v xml:space="preserve">; ; ; ; ; </v>
      </c>
      <c r="N50" s="328"/>
      <c r="O50" s="328">
        <f>IF(Tabelle1!AT$13="ungültig",0,1)</f>
        <v>1</v>
      </c>
      <c r="P50" s="328">
        <f t="shared" si="9"/>
        <v>0</v>
      </c>
      <c r="Q50" s="328">
        <f t="shared" si="10"/>
        <v>0</v>
      </c>
      <c r="R50" s="328"/>
      <c r="S50" s="328"/>
    </row>
    <row r="51" spans="2:19" s="450" customFormat="1" ht="15" x14ac:dyDescent="0.25">
      <c r="B51" s="479" t="str">
        <f>LEFT(applications!A28,17)</f>
        <v xml:space="preserve">further services </v>
      </c>
      <c r="C51" s="452" t="str">
        <f>IF(applications!$C$7="","",IF(applications!C28="","",applications!C28))</f>
        <v/>
      </c>
      <c r="D51" s="754"/>
      <c r="E51" s="755"/>
      <c r="F51" s="755"/>
      <c r="G51" s="572"/>
      <c r="H51" s="755"/>
      <c r="I51" s="453"/>
      <c r="J51" s="537"/>
      <c r="K51" s="456">
        <f t="shared" si="7"/>
        <v>0</v>
      </c>
      <c r="L51" s="691"/>
      <c r="M51" s="328" t="str">
        <f t="shared" si="8"/>
        <v xml:space="preserve">; ; ; ; ; </v>
      </c>
      <c r="N51" s="328"/>
      <c r="O51" s="328">
        <f>IF(Tabelle1!AU$13="ungültig",0,1)</f>
        <v>1</v>
      </c>
      <c r="P51" s="328">
        <f t="shared" si="9"/>
        <v>0</v>
      </c>
      <c r="Q51" s="328">
        <f t="shared" si="10"/>
        <v>0</v>
      </c>
      <c r="R51" s="328"/>
      <c r="S51" s="328"/>
    </row>
    <row r="52" spans="2:19" s="450" customFormat="1" ht="3.75" customHeight="1" x14ac:dyDescent="0.2">
      <c r="B52" s="480"/>
      <c r="C52" s="451" t="str">
        <f>IF(applications!$C$7="","",IF(applications!C29="","",applications!C29))</f>
        <v/>
      </c>
      <c r="D52" s="451"/>
      <c r="J52" s="537"/>
      <c r="K52" s="456"/>
      <c r="L52" s="691"/>
      <c r="M52" s="328"/>
      <c r="N52" s="328"/>
      <c r="O52" s="328"/>
      <c r="P52" s="328"/>
      <c r="Q52" s="328"/>
      <c r="R52" s="328"/>
      <c r="S52" s="328"/>
    </row>
    <row r="53" spans="2:19" s="450" customFormat="1" x14ac:dyDescent="0.2">
      <c r="C53" s="741" t="str">
        <f>IF(applications!D78="fazit",IF(applications!C28="x","CAUTION: for application FAZIT exclusively naming of the item responsible of the commissioning Volkswagen Group department",""),"")</f>
        <v/>
      </c>
      <c r="D53" s="451"/>
      <c r="J53" s="537"/>
      <c r="K53" s="456"/>
      <c r="L53" s="691"/>
      <c r="M53" s="328"/>
      <c r="N53" s="328"/>
      <c r="O53" s="328"/>
      <c r="P53" s="328"/>
      <c r="Q53" s="328"/>
      <c r="R53" s="328"/>
      <c r="S53" s="328"/>
    </row>
    <row r="54" spans="2:19" s="559" customFormat="1" x14ac:dyDescent="0.2">
      <c r="D54" s="560"/>
      <c r="J54" s="561"/>
      <c r="K54" s="456"/>
      <c r="L54" s="691"/>
      <c r="M54" s="328"/>
      <c r="N54" s="328"/>
      <c r="O54" s="328"/>
      <c r="P54" s="328"/>
      <c r="Q54" s="328"/>
      <c r="R54" s="328"/>
      <c r="S54" s="328"/>
    </row>
    <row r="55" spans="2:19" s="559" customFormat="1" x14ac:dyDescent="0.2">
      <c r="C55" s="560"/>
      <c r="D55" s="560"/>
      <c r="J55" s="561"/>
      <c r="K55" s="456"/>
      <c r="L55" s="691"/>
      <c r="M55" s="328"/>
      <c r="N55" s="328"/>
      <c r="O55" s="328"/>
      <c r="P55" s="328"/>
      <c r="Q55" s="328"/>
      <c r="R55" s="328"/>
      <c r="S55" s="328"/>
    </row>
    <row r="56" spans="2:19" s="559" customFormat="1" x14ac:dyDescent="0.2">
      <c r="C56" s="560"/>
      <c r="D56" s="560"/>
      <c r="J56" s="561"/>
      <c r="K56" s="456"/>
      <c r="L56" s="691"/>
      <c r="M56" s="328"/>
      <c r="N56" s="328"/>
      <c r="O56" s="328"/>
      <c r="P56" s="328"/>
      <c r="Q56" s="328"/>
      <c r="R56" s="328"/>
      <c r="S56" s="328"/>
    </row>
    <row r="57" spans="2:19" s="559" customFormat="1" x14ac:dyDescent="0.2">
      <c r="C57" s="560"/>
      <c r="D57" s="560"/>
      <c r="J57" s="561"/>
      <c r="K57" s="456"/>
      <c r="L57" s="691"/>
      <c r="M57" s="328"/>
      <c r="N57" s="328"/>
      <c r="O57" s="328"/>
      <c r="P57" s="328"/>
      <c r="Q57" s="328"/>
      <c r="R57" s="328"/>
      <c r="S57" s="328"/>
    </row>
    <row r="58" spans="2:19" s="559" customFormat="1" x14ac:dyDescent="0.2">
      <c r="B58" s="328"/>
      <c r="C58" s="341"/>
      <c r="D58" s="341"/>
      <c r="E58" s="328"/>
      <c r="J58" s="561"/>
      <c r="K58" s="456"/>
      <c r="L58" s="691"/>
      <c r="M58" s="328"/>
      <c r="N58" s="328"/>
      <c r="O58" s="328"/>
      <c r="P58" s="328"/>
      <c r="Q58" s="328"/>
      <c r="R58" s="328"/>
      <c r="S58" s="328"/>
    </row>
    <row r="59" spans="2:19" s="559" customFormat="1" x14ac:dyDescent="0.2">
      <c r="B59" s="328"/>
      <c r="C59" s="341"/>
      <c r="D59" s="341"/>
      <c r="E59" s="328"/>
      <c r="J59" s="561"/>
      <c r="K59" s="456"/>
      <c r="L59" s="691"/>
      <c r="M59" s="328"/>
      <c r="N59" s="328"/>
      <c r="O59" s="328"/>
      <c r="P59" s="328"/>
      <c r="Q59" s="328"/>
      <c r="R59" s="328"/>
      <c r="S59" s="328"/>
    </row>
    <row r="60" spans="2:19" s="559" customFormat="1" x14ac:dyDescent="0.2">
      <c r="B60" s="328"/>
      <c r="C60" s="341"/>
      <c r="D60" s="341"/>
      <c r="E60" s="328"/>
      <c r="J60" s="561"/>
      <c r="K60" s="456"/>
      <c r="L60" s="691"/>
      <c r="M60" s="328"/>
      <c r="N60" s="328"/>
      <c r="O60" s="328"/>
      <c r="P60" s="328"/>
      <c r="Q60" s="328"/>
      <c r="R60" s="328"/>
      <c r="S60" s="328"/>
    </row>
    <row r="61" spans="2:19" s="559" customFormat="1" x14ac:dyDescent="0.2">
      <c r="B61" s="328"/>
      <c r="C61" s="341"/>
      <c r="D61" s="341"/>
      <c r="E61" s="328"/>
      <c r="J61" s="561"/>
      <c r="K61" s="456"/>
      <c r="L61" s="691"/>
      <c r="M61" s="328"/>
      <c r="N61" s="328"/>
      <c r="O61" s="328"/>
      <c r="P61" s="328"/>
      <c r="Q61" s="328"/>
      <c r="R61" s="328"/>
      <c r="S61" s="328"/>
    </row>
    <row r="62" spans="2:19" s="559" customFormat="1" x14ac:dyDescent="0.2">
      <c r="B62" s="328"/>
      <c r="C62" s="341"/>
      <c r="D62" s="341"/>
      <c r="E62" s="328"/>
      <c r="J62" s="561"/>
      <c r="K62" s="456"/>
      <c r="L62" s="691"/>
      <c r="M62" s="328"/>
      <c r="N62" s="328"/>
      <c r="O62" s="328"/>
      <c r="P62" s="328"/>
      <c r="Q62" s="328"/>
      <c r="R62" s="328"/>
      <c r="S62" s="328"/>
    </row>
    <row r="63" spans="2:19" s="559" customFormat="1" x14ac:dyDescent="0.2">
      <c r="B63" s="328"/>
      <c r="C63" s="341"/>
      <c r="D63" s="341"/>
      <c r="E63" s="328"/>
      <c r="J63" s="561"/>
      <c r="K63" s="456"/>
      <c r="L63" s="691"/>
      <c r="M63" s="328"/>
      <c r="N63" s="328"/>
      <c r="O63" s="328"/>
      <c r="P63" s="328"/>
      <c r="Q63" s="328"/>
      <c r="R63" s="328"/>
      <c r="S63" s="328"/>
    </row>
    <row r="64" spans="2:19" s="328" customFormat="1" x14ac:dyDescent="0.2">
      <c r="C64" s="341"/>
      <c r="D64" s="341"/>
      <c r="J64" s="558"/>
      <c r="K64" s="456"/>
      <c r="L64" s="691"/>
    </row>
    <row r="65" spans="2:19" s="328" customFormat="1" ht="25.5" x14ac:dyDescent="0.2">
      <c r="B65" s="457" t="s">
        <v>661</v>
      </c>
      <c r="C65" s="458" t="s">
        <v>741</v>
      </c>
      <c r="D65" s="459"/>
      <c r="J65" s="558"/>
      <c r="K65" s="456"/>
      <c r="L65" s="691"/>
    </row>
    <row r="66" spans="2:19" s="328" customFormat="1" x14ac:dyDescent="0.2">
      <c r="B66" s="460">
        <f>IF(applications!B12="x",1,0)</f>
        <v>0</v>
      </c>
      <c r="C66" s="460">
        <f>L8</f>
        <v>10</v>
      </c>
      <c r="D66" s="461">
        <f>IF(B66=0,IF($B$41&lt;3,IF($B$41&gt;0,100,0),0),0)</f>
        <v>0</v>
      </c>
      <c r="J66" s="558"/>
      <c r="K66" s="456"/>
      <c r="L66" s="691"/>
    </row>
    <row r="67" spans="2:19" s="328" customFormat="1" x14ac:dyDescent="0.2">
      <c r="B67" s="509">
        <f>IF(applications!C12="x",1,0)</f>
        <v>0</v>
      </c>
      <c r="C67" s="509">
        <f>L32</f>
        <v>10</v>
      </c>
      <c r="D67" s="461">
        <f>IF(B67=0,IF($B$41&lt;3,IF($B$41&gt;0,100,0),0),0)</f>
        <v>0</v>
      </c>
      <c r="J67" s="558"/>
      <c r="K67" s="456"/>
      <c r="L67" s="691"/>
    </row>
    <row r="68" spans="2:19" s="328" customFormat="1" x14ac:dyDescent="0.2">
      <c r="B68" s="509">
        <f>SUM(B66:B67)</f>
        <v>0</v>
      </c>
      <c r="C68" s="509">
        <f>SUM(C66:C67)</f>
        <v>20</v>
      </c>
      <c r="D68" s="462"/>
      <c r="J68" s="558"/>
      <c r="K68" s="456"/>
      <c r="L68" s="691"/>
      <c r="P68" s="750"/>
    </row>
    <row r="69" spans="2:19" s="328" customFormat="1" x14ac:dyDescent="0.2">
      <c r="B69" s="328">
        <f>IF(B66=1,IF(K12=0,0,10),10)</f>
        <v>10</v>
      </c>
      <c r="C69" s="509">
        <f>IF(L32=10,1,2)</f>
        <v>1</v>
      </c>
      <c r="D69" s="462">
        <f>'company data'!$D$39+'contact persons'!$F$44+applications!$K$34</f>
        <v>0</v>
      </c>
      <c r="J69" s="558"/>
      <c r="K69" s="456"/>
      <c r="L69" s="691"/>
      <c r="P69" s="750"/>
    </row>
    <row r="70" spans="2:19" s="328" customFormat="1" x14ac:dyDescent="0.2">
      <c r="B70" s="328">
        <f>IF(B67=1,IF(K35=0,0,10),10)</f>
        <v>10</v>
      </c>
      <c r="C70" s="341">
        <f>IF(C69=2,IF(C68=2,1,0),100)</f>
        <v>100</v>
      </c>
      <c r="D70" s="341"/>
      <c r="J70" s="558"/>
      <c r="K70" s="456"/>
      <c r="L70" s="691"/>
      <c r="P70" s="750"/>
    </row>
    <row r="71" spans="2:19" s="328" customFormat="1" x14ac:dyDescent="0.2">
      <c r="C71" s="456" t="str">
        <f>IF(C68&lt;1,"unvollständig",IF($C$68=20,"Marken oder Applikationen nicht belegt",IF(C68=2,"vollständig",IF(C70=1,"vollständig",IF(C68=11,"vollständig","unvollständig")))))</f>
        <v>Marken oder Applikationen nicht belegt</v>
      </c>
      <c r="D71" s="341"/>
      <c r="J71" s="558"/>
      <c r="K71" s="456"/>
      <c r="L71" s="691"/>
      <c r="P71" s="750"/>
    </row>
    <row r="72" spans="2:19" s="328" customFormat="1" x14ac:dyDescent="0.2">
      <c r="C72" s="341"/>
      <c r="D72" s="341"/>
      <c r="J72" s="558"/>
      <c r="K72" s="456"/>
      <c r="L72" s="691"/>
      <c r="P72" s="750"/>
    </row>
    <row r="73" spans="2:19" s="328" customFormat="1" x14ac:dyDescent="0.2">
      <c r="C73" s="341"/>
      <c r="D73" s="341"/>
      <c r="J73" s="558"/>
      <c r="K73" s="456"/>
      <c r="L73" s="691"/>
    </row>
    <row r="74" spans="2:19" s="328" customFormat="1" x14ac:dyDescent="0.2">
      <c r="C74" s="341"/>
      <c r="D74" s="341"/>
      <c r="J74" s="558"/>
      <c r="K74" s="456"/>
      <c r="L74" s="691"/>
    </row>
    <row r="75" spans="2:19" s="559" customFormat="1" x14ac:dyDescent="0.2">
      <c r="B75" s="328"/>
      <c r="C75" s="341"/>
      <c r="D75" s="341"/>
      <c r="E75" s="328"/>
      <c r="J75" s="561"/>
      <c r="K75" s="456"/>
      <c r="L75" s="691"/>
      <c r="M75" s="328"/>
      <c r="N75" s="328"/>
      <c r="O75" s="328"/>
      <c r="P75" s="328"/>
      <c r="Q75" s="328"/>
      <c r="R75" s="328"/>
      <c r="S75" s="328"/>
    </row>
    <row r="76" spans="2:19" s="559" customFormat="1" x14ac:dyDescent="0.2">
      <c r="B76" s="328"/>
      <c r="C76" s="341"/>
      <c r="D76" s="341"/>
      <c r="E76" s="328"/>
      <c r="J76" s="561"/>
      <c r="K76" s="456"/>
      <c r="L76" s="691"/>
      <c r="M76" s="328"/>
      <c r="N76" s="328"/>
      <c r="O76" s="328"/>
      <c r="P76" s="328"/>
      <c r="Q76" s="328"/>
      <c r="R76" s="328"/>
      <c r="S76" s="328"/>
    </row>
    <row r="77" spans="2:19" s="559" customFormat="1" x14ac:dyDescent="0.2">
      <c r="B77" s="328"/>
      <c r="C77" s="341"/>
      <c r="D77" s="341"/>
      <c r="E77" s="328"/>
      <c r="J77" s="561"/>
      <c r="K77" s="456"/>
      <c r="L77" s="691"/>
      <c r="M77" s="328"/>
      <c r="N77" s="328"/>
      <c r="O77" s="328"/>
      <c r="P77" s="328"/>
      <c r="Q77" s="328"/>
      <c r="R77" s="328"/>
      <c r="S77" s="328"/>
    </row>
    <row r="78" spans="2:19" s="559" customFormat="1" x14ac:dyDescent="0.2">
      <c r="B78" s="328"/>
      <c r="C78" s="341"/>
      <c r="D78" s="341"/>
      <c r="E78" s="328"/>
      <c r="J78" s="561"/>
      <c r="K78" s="456"/>
      <c r="L78" s="691"/>
      <c r="M78" s="328"/>
      <c r="N78" s="328"/>
      <c r="O78" s="328"/>
      <c r="P78" s="328"/>
      <c r="Q78" s="328"/>
      <c r="R78" s="328"/>
      <c r="S78" s="328"/>
    </row>
    <row r="79" spans="2:19" s="559" customFormat="1" x14ac:dyDescent="0.2">
      <c r="B79" s="328"/>
      <c r="C79" s="341"/>
      <c r="D79" s="341"/>
      <c r="E79" s="328"/>
      <c r="J79" s="561"/>
      <c r="K79" s="456"/>
      <c r="L79" s="691"/>
      <c r="M79" s="328"/>
      <c r="N79" s="328"/>
      <c r="O79" s="328"/>
      <c r="P79" s="328"/>
      <c r="Q79" s="328"/>
      <c r="R79" s="328"/>
      <c r="S79" s="328"/>
    </row>
    <row r="80" spans="2:19" s="559" customFormat="1" x14ac:dyDescent="0.2">
      <c r="B80" s="328"/>
      <c r="C80" s="341"/>
      <c r="D80" s="341"/>
      <c r="E80" s="328"/>
      <c r="J80" s="561"/>
      <c r="K80" s="456"/>
      <c r="L80" s="691"/>
      <c r="M80" s="328"/>
      <c r="N80" s="328"/>
      <c r="O80" s="328"/>
      <c r="P80" s="328"/>
      <c r="Q80" s="328"/>
      <c r="R80" s="328"/>
      <c r="S80" s="328"/>
    </row>
    <row r="81" spans="2:19" s="559" customFormat="1" x14ac:dyDescent="0.2">
      <c r="B81" s="328"/>
      <c r="C81" s="341"/>
      <c r="D81" s="341"/>
      <c r="E81" s="328"/>
      <c r="J81" s="561"/>
      <c r="K81" s="456"/>
      <c r="L81" s="691"/>
      <c r="M81" s="328"/>
      <c r="N81" s="328"/>
      <c r="O81" s="328"/>
      <c r="P81" s="328"/>
      <c r="Q81" s="328"/>
      <c r="R81" s="328"/>
      <c r="S81" s="328"/>
    </row>
    <row r="82" spans="2:19" s="559" customFormat="1" x14ac:dyDescent="0.2">
      <c r="B82" s="328"/>
      <c r="C82" s="341"/>
      <c r="D82" s="341"/>
      <c r="E82" s="328"/>
      <c r="J82" s="561"/>
      <c r="K82" s="456"/>
      <c r="L82" s="691"/>
      <c r="M82" s="328"/>
      <c r="N82" s="328"/>
      <c r="O82" s="328"/>
      <c r="P82" s="328"/>
      <c r="Q82" s="328"/>
      <c r="R82" s="328"/>
      <c r="S82" s="328"/>
    </row>
    <row r="83" spans="2:19" s="559" customFormat="1" x14ac:dyDescent="0.2">
      <c r="C83" s="560"/>
      <c r="D83" s="560"/>
      <c r="J83" s="561"/>
      <c r="K83" s="456"/>
      <c r="L83" s="691"/>
      <c r="M83" s="328"/>
      <c r="N83" s="328"/>
      <c r="O83" s="328"/>
      <c r="P83" s="328"/>
      <c r="Q83" s="328"/>
      <c r="R83" s="328"/>
      <c r="S83" s="328"/>
    </row>
    <row r="84" spans="2:19" s="559" customFormat="1" x14ac:dyDescent="0.2">
      <c r="C84" s="560"/>
      <c r="D84" s="560"/>
      <c r="J84" s="561"/>
      <c r="K84" s="456"/>
      <c r="L84" s="691"/>
      <c r="M84" s="328"/>
      <c r="N84" s="328"/>
      <c r="O84" s="328"/>
      <c r="P84" s="328"/>
      <c r="Q84" s="328"/>
      <c r="R84" s="328"/>
      <c r="S84" s="328"/>
    </row>
    <row r="85" spans="2:19" s="559" customFormat="1" x14ac:dyDescent="0.2">
      <c r="C85" s="560"/>
      <c r="D85" s="560"/>
      <c r="J85" s="561"/>
      <c r="K85" s="456"/>
      <c r="L85" s="691"/>
      <c r="M85" s="328"/>
      <c r="N85" s="328"/>
      <c r="O85" s="328"/>
      <c r="P85" s="328"/>
      <c r="Q85" s="328"/>
      <c r="R85" s="328"/>
      <c r="S85" s="328"/>
    </row>
    <row r="86" spans="2:19" s="559" customFormat="1" x14ac:dyDescent="0.2">
      <c r="C86" s="560"/>
      <c r="D86" s="560"/>
      <c r="J86" s="561"/>
      <c r="K86" s="456"/>
      <c r="L86" s="691"/>
      <c r="M86" s="328"/>
      <c r="N86" s="328"/>
      <c r="O86" s="328"/>
      <c r="P86" s="328"/>
      <c r="Q86" s="328"/>
      <c r="R86" s="328"/>
      <c r="S86" s="328"/>
    </row>
    <row r="87" spans="2:19" s="559" customFormat="1" x14ac:dyDescent="0.2">
      <c r="C87" s="560"/>
      <c r="D87" s="560"/>
      <c r="J87" s="561"/>
      <c r="K87" s="456"/>
      <c r="L87" s="691"/>
      <c r="M87" s="328"/>
      <c r="N87" s="328"/>
      <c r="O87" s="328"/>
      <c r="P87" s="328"/>
      <c r="Q87" s="328"/>
      <c r="R87" s="328"/>
      <c r="S87" s="328"/>
    </row>
    <row r="88" spans="2:19" s="559" customFormat="1" x14ac:dyDescent="0.2">
      <c r="C88" s="560"/>
      <c r="D88" s="560"/>
      <c r="J88" s="561"/>
      <c r="K88" s="456"/>
      <c r="L88" s="691"/>
      <c r="M88" s="328"/>
      <c r="N88" s="328"/>
      <c r="O88" s="328"/>
      <c r="P88" s="328"/>
      <c r="Q88" s="328"/>
      <c r="R88" s="328"/>
      <c r="S88" s="328"/>
    </row>
    <row r="89" spans="2:19" s="559" customFormat="1" x14ac:dyDescent="0.2">
      <c r="C89" s="560"/>
      <c r="D89" s="560"/>
      <c r="J89" s="561"/>
      <c r="K89" s="456"/>
      <c r="L89" s="691"/>
      <c r="M89" s="328"/>
      <c r="N89" s="328"/>
      <c r="O89" s="328"/>
      <c r="P89" s="328"/>
      <c r="Q89" s="328"/>
      <c r="R89" s="328"/>
      <c r="S89" s="328"/>
    </row>
    <row r="90" spans="2:19" s="559" customFormat="1" x14ac:dyDescent="0.2">
      <c r="C90" s="560"/>
      <c r="D90" s="560"/>
      <c r="J90" s="561"/>
      <c r="K90" s="456"/>
      <c r="L90" s="691"/>
      <c r="M90" s="328"/>
      <c r="N90" s="328"/>
      <c r="O90" s="328"/>
      <c r="P90" s="328"/>
      <c r="Q90" s="328"/>
      <c r="R90" s="328"/>
      <c r="S90" s="328"/>
    </row>
    <row r="91" spans="2:19" s="559" customFormat="1" x14ac:dyDescent="0.2">
      <c r="C91" s="560"/>
      <c r="D91" s="560"/>
      <c r="J91" s="561"/>
      <c r="K91" s="456"/>
      <c r="L91" s="691"/>
      <c r="M91" s="328"/>
      <c r="N91" s="328"/>
      <c r="O91" s="328"/>
      <c r="P91" s="328"/>
      <c r="Q91" s="328"/>
      <c r="R91" s="328"/>
      <c r="S91" s="328"/>
    </row>
  </sheetData>
  <sheetProtection algorithmName="SHA-512" hashValue="OiyCVHkPvSIRKhQzn0GI9Vu588N6AYICHnanAW6xZ5xvWtVK5c9zGqN4IhMzPaaXMFPLo+WPJzV9sOWXlSgjSg==" saltValue="/NVmxMpynqwa7isbjOXODg==" spinCount="100000" sheet="1" objects="1" scenarios="1"/>
  <mergeCells count="6">
    <mergeCell ref="E2:G2"/>
    <mergeCell ref="H32:I32"/>
    <mergeCell ref="C8:F8"/>
    <mergeCell ref="C31:F31"/>
    <mergeCell ref="H9:I9"/>
    <mergeCell ref="B5:I5"/>
  </mergeCells>
  <conditionalFormatting sqref="C11:I11">
    <cfRule type="expression" dxfId="513" priority="315">
      <formula>$C$11="x"</formula>
    </cfRule>
  </conditionalFormatting>
  <conditionalFormatting sqref="D17:I17">
    <cfRule type="expression" dxfId="512" priority="289">
      <formula>$C$17="x"</formula>
    </cfRule>
  </conditionalFormatting>
  <conditionalFormatting sqref="D18:I18">
    <cfRule type="expression" dxfId="511" priority="288">
      <formula>$C$18="x"</formula>
    </cfRule>
  </conditionalFormatting>
  <conditionalFormatting sqref="D19:I19">
    <cfRule type="expression" dxfId="510" priority="287">
      <formula>$C$19="x"</formula>
    </cfRule>
  </conditionalFormatting>
  <conditionalFormatting sqref="D20:I20">
    <cfRule type="expression" dxfId="509" priority="286">
      <formula>$C$20="x"</formula>
    </cfRule>
  </conditionalFormatting>
  <conditionalFormatting sqref="D21:I21">
    <cfRule type="expression" dxfId="508" priority="285">
      <formula>$C$21="x"</formula>
    </cfRule>
  </conditionalFormatting>
  <conditionalFormatting sqref="D22:I22">
    <cfRule type="expression" dxfId="507" priority="284">
      <formula>$C$22="x"</formula>
    </cfRule>
  </conditionalFormatting>
  <conditionalFormatting sqref="D23:I23">
    <cfRule type="expression" dxfId="506" priority="283">
      <formula>$C$23="x"</formula>
    </cfRule>
  </conditionalFormatting>
  <conditionalFormatting sqref="D24:I24">
    <cfRule type="expression" dxfId="505" priority="282">
      <formula>$C$24="x"</formula>
    </cfRule>
  </conditionalFormatting>
  <conditionalFormatting sqref="D25:I25">
    <cfRule type="expression" dxfId="504" priority="281">
      <formula>$C$25="x"</formula>
    </cfRule>
  </conditionalFormatting>
  <conditionalFormatting sqref="D26:I26">
    <cfRule type="expression" dxfId="503" priority="280">
      <formula>$C$26="x"</formula>
    </cfRule>
  </conditionalFormatting>
  <conditionalFormatting sqref="D27:I27">
    <cfRule type="expression" dxfId="502" priority="279">
      <formula>$C$27="x"</formula>
    </cfRule>
  </conditionalFormatting>
  <conditionalFormatting sqref="D28:I28">
    <cfRule type="expression" dxfId="501" priority="278">
      <formula>$C$28="x"</formula>
    </cfRule>
  </conditionalFormatting>
  <conditionalFormatting sqref="C8">
    <cfRule type="cellIs" dxfId="500" priority="276" operator="equal">
      <formula>"no selection of brand on sheet applications -&gt; back to applications"</formula>
    </cfRule>
  </conditionalFormatting>
  <conditionalFormatting sqref="C12:I12">
    <cfRule type="expression" dxfId="499" priority="275">
      <formula>$K$12=1</formula>
    </cfRule>
    <cfRule type="expression" dxfId="498" priority="277">
      <formula>$C$12="x"</formula>
    </cfRule>
  </conditionalFormatting>
  <conditionalFormatting sqref="D9:H9">
    <cfRule type="expression" dxfId="497" priority="274">
      <formula>$K$8=1</formula>
    </cfRule>
  </conditionalFormatting>
  <conditionalFormatting sqref="C11">
    <cfRule type="expression" dxfId="496" priority="273">
      <formula>$K$11=1</formula>
    </cfRule>
  </conditionalFormatting>
  <conditionalFormatting sqref="C8">
    <cfRule type="cellIs" dxfId="495" priority="271" operator="equal">
      <formula>"no selection of applications on sheet applications -&gt; back to applications"</formula>
    </cfRule>
  </conditionalFormatting>
  <conditionalFormatting sqref="C31">
    <cfRule type="cellIs" dxfId="494" priority="269" operator="equal">
      <formula>"at first select a brand of VW Group -&gt; back to sheet applications"</formula>
    </cfRule>
  </conditionalFormatting>
  <conditionalFormatting sqref="C31:F31">
    <cfRule type="cellIs" dxfId="493" priority="104" operator="equal">
      <formula>"selection of brand 1 is incomplete - completion of the 2nd brand is waiting for brand 1 finalization"</formula>
    </cfRule>
    <cfRule type="cellIs" dxfId="492" priority="199" operator="equal">
      <formula>"2. brand may not be identical with the 1st one - correct them on sheet applications"</formula>
    </cfRule>
    <cfRule type="cellIs" dxfId="491" priority="268" operator="equal">
      <formula>"selection of applications for the selected brand is pending -&gt; back to sheet applications"</formula>
    </cfRule>
  </conditionalFormatting>
  <conditionalFormatting sqref="C10">
    <cfRule type="expression" dxfId="490" priority="101">
      <formula>$L$8=10</formula>
    </cfRule>
    <cfRule type="expression" dxfId="489" priority="267">
      <formula>$K$8=1</formula>
    </cfRule>
  </conditionalFormatting>
  <conditionalFormatting sqref="C33">
    <cfRule type="expression" dxfId="488" priority="100">
      <formula>$L$32=10</formula>
    </cfRule>
    <cfRule type="expression" dxfId="487" priority="266">
      <formula>$K$31=1</formula>
    </cfRule>
  </conditionalFormatting>
  <conditionalFormatting sqref="E32:G32">
    <cfRule type="expression" dxfId="486" priority="265">
      <formula>$K$31=1</formula>
    </cfRule>
  </conditionalFormatting>
  <conditionalFormatting sqref="C34:I51">
    <cfRule type="expression" dxfId="485" priority="12">
      <formula>$K$31=1</formula>
    </cfRule>
  </conditionalFormatting>
  <conditionalFormatting sqref="C13:I13">
    <cfRule type="expression" dxfId="484" priority="253">
      <formula>$K$13=1</formula>
    </cfRule>
    <cfRule type="expression" dxfId="483" priority="254">
      <formula>$C$13="x"</formula>
    </cfRule>
  </conditionalFormatting>
  <conditionalFormatting sqref="C14:I14">
    <cfRule type="expression" dxfId="482" priority="251">
      <formula>$K$14=1</formula>
    </cfRule>
    <cfRule type="expression" dxfId="481" priority="252">
      <formula>$C$14="x"</formula>
    </cfRule>
  </conditionalFormatting>
  <conditionalFormatting sqref="C15:I15">
    <cfRule type="expression" dxfId="480" priority="249">
      <formula>$K$15=1</formula>
    </cfRule>
    <cfRule type="expression" dxfId="479" priority="250">
      <formula>$C$15="x"</formula>
    </cfRule>
  </conditionalFormatting>
  <conditionalFormatting sqref="C16:I16">
    <cfRule type="expression" dxfId="478" priority="247">
      <formula>$K$16=1</formula>
    </cfRule>
    <cfRule type="expression" dxfId="477" priority="248">
      <formula>$C$16="x"</formula>
    </cfRule>
  </conditionalFormatting>
  <conditionalFormatting sqref="C17:I17">
    <cfRule type="expression" dxfId="476" priority="245">
      <formula>$K$17=1</formula>
    </cfRule>
    <cfRule type="expression" dxfId="475" priority="246">
      <formula>$C$17="x"</formula>
    </cfRule>
  </conditionalFormatting>
  <conditionalFormatting sqref="C18:I18">
    <cfRule type="expression" dxfId="474" priority="243">
      <formula>$K$18=1</formula>
    </cfRule>
    <cfRule type="expression" dxfId="473" priority="244">
      <formula>$C$18="x"</formula>
    </cfRule>
  </conditionalFormatting>
  <conditionalFormatting sqref="C19:I19">
    <cfRule type="expression" dxfId="472" priority="241">
      <formula>$K$19=1</formula>
    </cfRule>
    <cfRule type="expression" dxfId="471" priority="242">
      <formula>$C$19="x"</formula>
    </cfRule>
  </conditionalFormatting>
  <conditionalFormatting sqref="C20:I20">
    <cfRule type="expression" dxfId="470" priority="239">
      <formula>$K$20=1</formula>
    </cfRule>
    <cfRule type="expression" dxfId="469" priority="240">
      <formula>$C$20="x"</formula>
    </cfRule>
  </conditionalFormatting>
  <conditionalFormatting sqref="C21:I21">
    <cfRule type="expression" dxfId="468" priority="237">
      <formula>$K$21=1</formula>
    </cfRule>
    <cfRule type="expression" dxfId="467" priority="238">
      <formula>$C$21="x"</formula>
    </cfRule>
  </conditionalFormatting>
  <conditionalFormatting sqref="C22:I22">
    <cfRule type="expression" dxfId="466" priority="235">
      <formula>$K$22=1</formula>
    </cfRule>
    <cfRule type="expression" dxfId="465" priority="236">
      <formula>$C$22="x"</formula>
    </cfRule>
  </conditionalFormatting>
  <conditionalFormatting sqref="C23:I23">
    <cfRule type="expression" dxfId="464" priority="233">
      <formula>$K$23=1</formula>
    </cfRule>
    <cfRule type="expression" dxfId="463" priority="234">
      <formula>$C$23="x"</formula>
    </cfRule>
  </conditionalFormatting>
  <conditionalFormatting sqref="C24:I24">
    <cfRule type="expression" dxfId="462" priority="231">
      <formula>$K$24=1</formula>
    </cfRule>
    <cfRule type="expression" dxfId="461" priority="232">
      <formula>$C$24="x"</formula>
    </cfRule>
  </conditionalFormatting>
  <conditionalFormatting sqref="C25:I25">
    <cfRule type="expression" dxfId="460" priority="229">
      <formula>$K$25=1</formula>
    </cfRule>
    <cfRule type="expression" dxfId="459" priority="230">
      <formula>$C$25="x"</formula>
    </cfRule>
  </conditionalFormatting>
  <conditionalFormatting sqref="C26:I26">
    <cfRule type="expression" dxfId="458" priority="227">
      <formula>$K$26=1</formula>
    </cfRule>
    <cfRule type="expression" dxfId="457" priority="228">
      <formula>$C$26="x"</formula>
    </cfRule>
  </conditionalFormatting>
  <conditionalFormatting sqref="C27:I27">
    <cfRule type="expression" dxfId="456" priority="225">
      <formula>$K$27=1</formula>
    </cfRule>
    <cfRule type="expression" dxfId="455" priority="226">
      <formula>$C$27="x"</formula>
    </cfRule>
  </conditionalFormatting>
  <conditionalFormatting sqref="C28:I28">
    <cfRule type="expression" dxfId="454" priority="223">
      <formula>$K$28=1</formula>
    </cfRule>
    <cfRule type="expression" dxfId="453" priority="224">
      <formula>$C$28="x"</formula>
    </cfRule>
  </conditionalFormatting>
  <conditionalFormatting sqref="B11">
    <cfRule type="expression" dxfId="452" priority="202">
      <formula>$C$11=""</formula>
    </cfRule>
    <cfRule type="expression" dxfId="451" priority="204">
      <formula>$K$11=1</formula>
    </cfRule>
    <cfRule type="expression" dxfId="450" priority="222">
      <formula>$C$11="x"</formula>
    </cfRule>
  </conditionalFormatting>
  <conditionalFormatting sqref="B12">
    <cfRule type="expression" dxfId="449" priority="75">
      <formula>$C$12=""</formula>
    </cfRule>
    <cfRule type="expression" dxfId="448" priority="201">
      <formula>$K$12=1</formula>
    </cfRule>
    <cfRule type="expression" dxfId="447" priority="221">
      <formula>$C$12="x"</formula>
    </cfRule>
  </conditionalFormatting>
  <conditionalFormatting sqref="B13">
    <cfRule type="expression" dxfId="446" priority="74">
      <formula>$C$13=""</formula>
    </cfRule>
    <cfRule type="expression" dxfId="445" priority="91">
      <formula>$K$13=1</formula>
    </cfRule>
    <cfRule type="expression" dxfId="444" priority="220">
      <formula>$C$13="x"</formula>
    </cfRule>
  </conditionalFormatting>
  <conditionalFormatting sqref="B14">
    <cfRule type="expression" dxfId="443" priority="73">
      <formula>$C$14=""</formula>
    </cfRule>
    <cfRule type="expression" dxfId="442" priority="90">
      <formula>$K$14=1</formula>
    </cfRule>
    <cfRule type="expression" dxfId="441" priority="219">
      <formula>$C$14="x"</formula>
    </cfRule>
  </conditionalFormatting>
  <conditionalFormatting sqref="B15">
    <cfRule type="expression" dxfId="440" priority="72">
      <formula>$C$15=""</formula>
    </cfRule>
    <cfRule type="expression" dxfId="439" priority="89">
      <formula>$K$15=1</formula>
    </cfRule>
    <cfRule type="expression" dxfId="438" priority="218">
      <formula>$C$15="x"</formula>
    </cfRule>
  </conditionalFormatting>
  <conditionalFormatting sqref="B16">
    <cfRule type="expression" dxfId="437" priority="71">
      <formula>$C$16=""</formula>
    </cfRule>
    <cfRule type="expression" dxfId="436" priority="88">
      <formula>$K$16=1</formula>
    </cfRule>
    <cfRule type="expression" dxfId="435" priority="217">
      <formula>$C$16="x"</formula>
    </cfRule>
  </conditionalFormatting>
  <conditionalFormatting sqref="B17">
    <cfRule type="expression" dxfId="434" priority="70">
      <formula>$C$17=""</formula>
    </cfRule>
    <cfRule type="expression" dxfId="433" priority="87">
      <formula>$K$17=1</formula>
    </cfRule>
    <cfRule type="expression" dxfId="432" priority="216">
      <formula>$C$17="x"</formula>
    </cfRule>
  </conditionalFormatting>
  <conditionalFormatting sqref="B18">
    <cfRule type="expression" dxfId="431" priority="69">
      <formula>$C$18=""</formula>
    </cfRule>
    <cfRule type="expression" dxfId="430" priority="86">
      <formula>$K$18=1</formula>
    </cfRule>
    <cfRule type="expression" dxfId="429" priority="215">
      <formula>$C$18="x"</formula>
    </cfRule>
  </conditionalFormatting>
  <conditionalFormatting sqref="B19">
    <cfRule type="expression" dxfId="428" priority="68">
      <formula>$C$19=""</formula>
    </cfRule>
    <cfRule type="expression" dxfId="427" priority="85">
      <formula>$K$19=1</formula>
    </cfRule>
    <cfRule type="expression" dxfId="426" priority="214">
      <formula>$C$19="x"</formula>
    </cfRule>
  </conditionalFormatting>
  <conditionalFormatting sqref="B20">
    <cfRule type="expression" dxfId="425" priority="67">
      <formula>$C$20=""</formula>
    </cfRule>
    <cfRule type="expression" dxfId="424" priority="84">
      <formula>$K$20=1</formula>
    </cfRule>
    <cfRule type="expression" dxfId="423" priority="213">
      <formula>$C$20="x"</formula>
    </cfRule>
  </conditionalFormatting>
  <conditionalFormatting sqref="B21">
    <cfRule type="expression" dxfId="422" priority="66">
      <formula>$C$21=""</formula>
    </cfRule>
    <cfRule type="expression" dxfId="421" priority="83">
      <formula>$K$21=1</formula>
    </cfRule>
    <cfRule type="expression" dxfId="420" priority="212">
      <formula>$C$21="x"</formula>
    </cfRule>
  </conditionalFormatting>
  <conditionalFormatting sqref="B22">
    <cfRule type="expression" dxfId="419" priority="65">
      <formula>$C$22=""</formula>
    </cfRule>
    <cfRule type="expression" dxfId="418" priority="82">
      <formula>$K$22=1</formula>
    </cfRule>
    <cfRule type="expression" dxfId="417" priority="211">
      <formula>$C$22="x"</formula>
    </cfRule>
  </conditionalFormatting>
  <conditionalFormatting sqref="B23">
    <cfRule type="expression" dxfId="416" priority="64">
      <formula>$C$23=""</formula>
    </cfRule>
    <cfRule type="expression" dxfId="415" priority="81">
      <formula>$K$23=1</formula>
    </cfRule>
    <cfRule type="expression" dxfId="414" priority="210">
      <formula>$C$23="x"</formula>
    </cfRule>
  </conditionalFormatting>
  <conditionalFormatting sqref="B24">
    <cfRule type="expression" dxfId="413" priority="63">
      <formula>$C$24=""</formula>
    </cfRule>
    <cfRule type="expression" dxfId="412" priority="80">
      <formula>$K$24=1</formula>
    </cfRule>
    <cfRule type="expression" dxfId="411" priority="209">
      <formula>$C$24="x"</formula>
    </cfRule>
  </conditionalFormatting>
  <conditionalFormatting sqref="B25">
    <cfRule type="expression" dxfId="410" priority="62">
      <formula>$C$25=""</formula>
    </cfRule>
    <cfRule type="expression" dxfId="409" priority="79">
      <formula>$K$25=1</formula>
    </cfRule>
    <cfRule type="expression" dxfId="408" priority="208">
      <formula>$C$25="x"</formula>
    </cfRule>
  </conditionalFormatting>
  <conditionalFormatting sqref="B26">
    <cfRule type="expression" dxfId="407" priority="61">
      <formula>$C$26=""</formula>
    </cfRule>
    <cfRule type="expression" dxfId="406" priority="78">
      <formula>$K$26=1</formula>
    </cfRule>
    <cfRule type="expression" dxfId="405" priority="207">
      <formula>$C$26="x"</formula>
    </cfRule>
  </conditionalFormatting>
  <conditionalFormatting sqref="B27">
    <cfRule type="expression" dxfId="404" priority="60">
      <formula>$C$27=""</formula>
    </cfRule>
    <cfRule type="expression" dxfId="403" priority="77">
      <formula>$K$27=1</formula>
    </cfRule>
    <cfRule type="expression" dxfId="402" priority="206">
      <formula>$C$27="x"</formula>
    </cfRule>
  </conditionalFormatting>
  <conditionalFormatting sqref="B28">
    <cfRule type="expression" dxfId="401" priority="59">
      <formula>$C$28=""</formula>
    </cfRule>
    <cfRule type="expression" dxfId="400" priority="76">
      <formula>$K$28=1</formula>
    </cfRule>
    <cfRule type="expression" dxfId="399" priority="205">
      <formula>$C$28="x"</formula>
    </cfRule>
  </conditionalFormatting>
  <conditionalFormatting sqref="B11:B28">
    <cfRule type="expression" dxfId="398" priority="58">
      <formula>$K$8=1</formula>
    </cfRule>
  </conditionalFormatting>
  <conditionalFormatting sqref="C11:I28">
    <cfRule type="expression" dxfId="397" priority="29">
      <formula>$K$8=1</formula>
    </cfRule>
  </conditionalFormatting>
  <conditionalFormatting sqref="D11:I11">
    <cfRule type="expression" dxfId="396" priority="203">
      <formula>$K$11=1</formula>
    </cfRule>
  </conditionalFormatting>
  <conditionalFormatting sqref="D9">
    <cfRule type="expression" dxfId="395" priority="198">
      <formula>$K$8=0</formula>
    </cfRule>
  </conditionalFormatting>
  <conditionalFormatting sqref="D32">
    <cfRule type="expression" dxfId="394" priority="197">
      <formula>$K$31=1</formula>
    </cfRule>
  </conditionalFormatting>
  <conditionalFormatting sqref="D32">
    <cfRule type="expression" dxfId="393" priority="196">
      <formula>$K$31=0</formula>
    </cfRule>
  </conditionalFormatting>
  <conditionalFormatting sqref="B34:B51">
    <cfRule type="expression" dxfId="392" priority="11">
      <formula>$K$31=1</formula>
    </cfRule>
  </conditionalFormatting>
  <conditionalFormatting sqref="B34">
    <cfRule type="expression" dxfId="391" priority="193">
      <formula>$C$34=""</formula>
    </cfRule>
    <cfRule type="expression" dxfId="390" priority="194">
      <formula>$K$34=1</formula>
    </cfRule>
    <cfRule type="expression" dxfId="389" priority="195">
      <formula>$C$34="x"</formula>
    </cfRule>
  </conditionalFormatting>
  <conditionalFormatting sqref="B35">
    <cfRule type="expression" dxfId="388" priority="190">
      <formula>$C$35=""</formula>
    </cfRule>
    <cfRule type="expression" dxfId="387" priority="191">
      <formula>$K$35=1</formula>
    </cfRule>
    <cfRule type="expression" dxfId="386" priority="192">
      <formula>$C$35="x"</formula>
    </cfRule>
  </conditionalFormatting>
  <conditionalFormatting sqref="B36">
    <cfRule type="expression" dxfId="385" priority="187">
      <formula>$C$36=""</formula>
    </cfRule>
    <cfRule type="expression" dxfId="384" priority="188">
      <formula>$K$36=1</formula>
    </cfRule>
    <cfRule type="expression" dxfId="383" priority="189">
      <formula>$C$36="x"</formula>
    </cfRule>
  </conditionalFormatting>
  <conditionalFormatting sqref="B37">
    <cfRule type="expression" dxfId="382" priority="184">
      <formula>$C$37=""</formula>
    </cfRule>
    <cfRule type="expression" dxfId="381" priority="185">
      <formula>$K$37=1</formula>
    </cfRule>
    <cfRule type="expression" dxfId="380" priority="186">
      <formula>$C$37="x"</formula>
    </cfRule>
  </conditionalFormatting>
  <conditionalFormatting sqref="B38">
    <cfRule type="expression" dxfId="379" priority="181">
      <formula>$C$38=""</formula>
    </cfRule>
    <cfRule type="expression" dxfId="378" priority="182">
      <formula>$K$38=1</formula>
    </cfRule>
    <cfRule type="expression" dxfId="377" priority="183">
      <formula>$C$38="x"</formula>
    </cfRule>
  </conditionalFormatting>
  <conditionalFormatting sqref="B39">
    <cfRule type="expression" dxfId="376" priority="178">
      <formula>$C$39=""</formula>
    </cfRule>
    <cfRule type="expression" dxfId="375" priority="179">
      <formula>$K$39=1</formula>
    </cfRule>
    <cfRule type="expression" dxfId="374" priority="180">
      <formula>$C$39="x"</formula>
    </cfRule>
  </conditionalFormatting>
  <conditionalFormatting sqref="B40">
    <cfRule type="expression" dxfId="373" priority="175">
      <formula>$C$40=""</formula>
    </cfRule>
    <cfRule type="expression" dxfId="372" priority="176">
      <formula>$K$40=1</formula>
    </cfRule>
    <cfRule type="expression" dxfId="371" priority="177">
      <formula>$C$40="x"</formula>
    </cfRule>
  </conditionalFormatting>
  <conditionalFormatting sqref="B41">
    <cfRule type="expression" dxfId="370" priority="172">
      <formula>$C$41=""</formula>
    </cfRule>
    <cfRule type="expression" dxfId="369" priority="173">
      <formula>$K$41=1</formula>
    </cfRule>
    <cfRule type="expression" dxfId="368" priority="174">
      <formula>$C$41="x"</formula>
    </cfRule>
  </conditionalFormatting>
  <conditionalFormatting sqref="B42">
    <cfRule type="expression" dxfId="367" priority="169">
      <formula>$C$42=""</formula>
    </cfRule>
    <cfRule type="expression" dxfId="366" priority="170">
      <formula>$K$42=1</formula>
    </cfRule>
    <cfRule type="expression" dxfId="365" priority="171">
      <formula>$C$42="x"</formula>
    </cfRule>
  </conditionalFormatting>
  <conditionalFormatting sqref="B43">
    <cfRule type="expression" dxfId="364" priority="166">
      <formula>$C$43=""</formula>
    </cfRule>
    <cfRule type="expression" dxfId="363" priority="167">
      <formula>$K$43=1</formula>
    </cfRule>
    <cfRule type="expression" dxfId="362" priority="168">
      <formula>$C$43="x"</formula>
    </cfRule>
  </conditionalFormatting>
  <conditionalFormatting sqref="B44">
    <cfRule type="expression" dxfId="361" priority="163">
      <formula>$C$44=""</formula>
    </cfRule>
    <cfRule type="expression" dxfId="360" priority="164">
      <formula>$K$44=1</formula>
    </cfRule>
    <cfRule type="expression" dxfId="359" priority="165">
      <formula>$C$44="x"</formula>
    </cfRule>
  </conditionalFormatting>
  <conditionalFormatting sqref="B45">
    <cfRule type="expression" dxfId="358" priority="160">
      <formula>$C$45=""</formula>
    </cfRule>
    <cfRule type="expression" dxfId="357" priority="161">
      <formula>$K$45=1</formula>
    </cfRule>
    <cfRule type="expression" dxfId="356" priority="162">
      <formula>$C$45="x"</formula>
    </cfRule>
  </conditionalFormatting>
  <conditionalFormatting sqref="B46">
    <cfRule type="expression" dxfId="355" priority="157">
      <formula>$C$46=""</formula>
    </cfRule>
    <cfRule type="expression" dxfId="354" priority="158">
      <formula>$K$46=1</formula>
    </cfRule>
    <cfRule type="expression" dxfId="353" priority="159">
      <formula>$C$46="x"</formula>
    </cfRule>
  </conditionalFormatting>
  <conditionalFormatting sqref="B47">
    <cfRule type="expression" dxfId="352" priority="154">
      <formula>$C$47=""</formula>
    </cfRule>
    <cfRule type="expression" dxfId="351" priority="155">
      <formula>$K$47=1</formula>
    </cfRule>
    <cfRule type="expression" dxfId="350" priority="156">
      <formula>$C$47="x"</formula>
    </cfRule>
  </conditionalFormatting>
  <conditionalFormatting sqref="B48">
    <cfRule type="expression" dxfId="349" priority="151">
      <formula>$C$48=""</formula>
    </cfRule>
    <cfRule type="expression" dxfId="348" priority="152">
      <formula>$K$48=1</formula>
    </cfRule>
    <cfRule type="expression" dxfId="347" priority="153">
      <formula>$C$48="x"</formula>
    </cfRule>
  </conditionalFormatting>
  <conditionalFormatting sqref="B49">
    <cfRule type="expression" dxfId="346" priority="148">
      <formula>$C$49=""</formula>
    </cfRule>
    <cfRule type="expression" dxfId="345" priority="149">
      <formula>$K$49=1</formula>
    </cfRule>
    <cfRule type="expression" dxfId="344" priority="150">
      <formula>$C$49="x"</formula>
    </cfRule>
  </conditionalFormatting>
  <conditionalFormatting sqref="B50">
    <cfRule type="expression" dxfId="343" priority="145">
      <formula>$C$50=""</formula>
    </cfRule>
    <cfRule type="expression" dxfId="342" priority="146">
      <formula>$K$50=1</formula>
    </cfRule>
    <cfRule type="expression" dxfId="341" priority="147">
      <formula>$C$50="x"</formula>
    </cfRule>
  </conditionalFormatting>
  <conditionalFormatting sqref="B51">
    <cfRule type="expression" dxfId="340" priority="142">
      <formula>$C$51=""</formula>
    </cfRule>
    <cfRule type="expression" dxfId="339" priority="143">
      <formula>$K$51=1</formula>
    </cfRule>
    <cfRule type="expression" dxfId="338" priority="144">
      <formula>$C$51="x"</formula>
    </cfRule>
  </conditionalFormatting>
  <conditionalFormatting sqref="C34:I34">
    <cfRule type="expression" dxfId="337" priority="140">
      <formula>$K$34=1</formula>
    </cfRule>
    <cfRule type="expression" dxfId="336" priority="255">
      <formula>$C$34="x"</formula>
    </cfRule>
  </conditionalFormatting>
  <conditionalFormatting sqref="C35:I35">
    <cfRule type="expression" dxfId="335" priority="138">
      <formula>$K$35=1</formula>
    </cfRule>
    <cfRule type="expression" dxfId="334" priority="139">
      <formula>$C$35="x"</formula>
    </cfRule>
  </conditionalFormatting>
  <conditionalFormatting sqref="C36:I36">
    <cfRule type="expression" dxfId="333" priority="136">
      <formula>$K$36=1</formula>
    </cfRule>
    <cfRule type="expression" dxfId="332" priority="137">
      <formula>$C$36="x"</formula>
    </cfRule>
  </conditionalFormatting>
  <conditionalFormatting sqref="C37:I37">
    <cfRule type="expression" dxfId="331" priority="134">
      <formula>$K$37=1</formula>
    </cfRule>
    <cfRule type="expression" dxfId="330" priority="135">
      <formula>$C$37="x"</formula>
    </cfRule>
  </conditionalFormatting>
  <conditionalFormatting sqref="C38:I38">
    <cfRule type="expression" dxfId="329" priority="132">
      <formula>$K$38=1</formula>
    </cfRule>
    <cfRule type="expression" dxfId="328" priority="133">
      <formula>$C$38="x"</formula>
    </cfRule>
  </conditionalFormatting>
  <conditionalFormatting sqref="C39:I39">
    <cfRule type="expression" dxfId="327" priority="130">
      <formula>$K$39=1</formula>
    </cfRule>
    <cfRule type="expression" dxfId="326" priority="131">
      <formula>$C$39="x"</formula>
    </cfRule>
  </conditionalFormatting>
  <conditionalFormatting sqref="C40:I40">
    <cfRule type="expression" dxfId="325" priority="128">
      <formula>$K$40=1</formula>
    </cfRule>
    <cfRule type="expression" dxfId="324" priority="129">
      <formula>$C$40="x"</formula>
    </cfRule>
  </conditionalFormatting>
  <conditionalFormatting sqref="C41:I41">
    <cfRule type="expression" dxfId="323" priority="126">
      <formula>$K$41=1</formula>
    </cfRule>
    <cfRule type="expression" dxfId="322" priority="127">
      <formula>$C$41="x"</formula>
    </cfRule>
  </conditionalFormatting>
  <conditionalFormatting sqref="C42:I42">
    <cfRule type="expression" dxfId="321" priority="124">
      <formula>$K$42=1</formula>
    </cfRule>
    <cfRule type="expression" dxfId="320" priority="125">
      <formula>$C$42="x"</formula>
    </cfRule>
  </conditionalFormatting>
  <conditionalFormatting sqref="C43:I43">
    <cfRule type="expression" dxfId="319" priority="122">
      <formula>$K$43=1</formula>
    </cfRule>
    <cfRule type="expression" dxfId="318" priority="123">
      <formula>$C$43="x"</formula>
    </cfRule>
  </conditionalFormatting>
  <conditionalFormatting sqref="C44:I44">
    <cfRule type="expression" dxfId="317" priority="120">
      <formula>$K$44=1</formula>
    </cfRule>
    <cfRule type="expression" dxfId="316" priority="121">
      <formula>$C$44="x"</formula>
    </cfRule>
  </conditionalFormatting>
  <conditionalFormatting sqref="C45:I45">
    <cfRule type="expression" dxfId="315" priority="118">
      <formula>$K$45=1</formula>
    </cfRule>
    <cfRule type="expression" dxfId="314" priority="119">
      <formula>$C$45="x"</formula>
    </cfRule>
  </conditionalFormatting>
  <conditionalFormatting sqref="C46:I46">
    <cfRule type="expression" dxfId="313" priority="116">
      <formula>$K$46=1</formula>
    </cfRule>
    <cfRule type="expression" dxfId="312" priority="117">
      <formula>$C$46="x"</formula>
    </cfRule>
  </conditionalFormatting>
  <conditionalFormatting sqref="C47:I47">
    <cfRule type="expression" dxfId="311" priority="114">
      <formula>$K$47=1</formula>
    </cfRule>
    <cfRule type="expression" dxfId="310" priority="115">
      <formula>$C$47="x"</formula>
    </cfRule>
  </conditionalFormatting>
  <conditionalFormatting sqref="C48:I48">
    <cfRule type="expression" dxfId="309" priority="112">
      <formula>$K$48=1</formula>
    </cfRule>
    <cfRule type="expression" dxfId="308" priority="113">
      <formula>$C$48="x"</formula>
    </cfRule>
  </conditionalFormatting>
  <conditionalFormatting sqref="C49:I49">
    <cfRule type="expression" dxfId="307" priority="110">
      <formula>$K$49=1</formula>
    </cfRule>
    <cfRule type="expression" dxfId="306" priority="111">
      <formula>$C$49="x"</formula>
    </cfRule>
  </conditionalFormatting>
  <conditionalFormatting sqref="C50:I50">
    <cfRule type="expression" dxfId="305" priority="108">
      <formula>$K$50=1</formula>
    </cfRule>
    <cfRule type="expression" dxfId="304" priority="109">
      <formula>$C$50="x"</formula>
    </cfRule>
  </conditionalFormatting>
  <conditionalFormatting sqref="C51:I51">
    <cfRule type="expression" dxfId="303" priority="106">
      <formula>$K$51=1</formula>
    </cfRule>
    <cfRule type="expression" dxfId="302" priority="107">
      <formula>$C$51="x"</formula>
    </cfRule>
  </conditionalFormatting>
  <conditionalFormatting sqref="B65">
    <cfRule type="containsText" dxfId="301" priority="103" operator="containsText" text="vorherige Seiten des Steckbriefs unvollständig - alle Tabellenblätter prüfen und ergänzen">
      <formula>NOT(ISERROR(SEARCH("vorherige Seiten des Steckbriefs unvollständig - alle Tabellenblätter prüfen und ergänzen",B65)))</formula>
    </cfRule>
  </conditionalFormatting>
  <conditionalFormatting sqref="D66:D67">
    <cfRule type="containsText" dxfId="300" priority="102" operator="containsText" text="Steckbrief vollständig -  Zusammenfassung prüfen und Dokument an csn.service@o-s.de senden">
      <formula>NOT(ISERROR(SEARCH("Steckbrief vollständig -  Zusammenfassung prüfen und Dokument an csn.service@o-s.de senden",D66)))</formula>
    </cfRule>
  </conditionalFormatting>
  <conditionalFormatting sqref="E2">
    <cfRule type="containsText" dxfId="299" priority="97" operator="containsText" text="previous sheets of checklist are incomplete - check all and fill in the gaps">
      <formula>NOT(ISERROR(SEARCH("previous sheets of checklist are incomplete - check all and fill in the gaps",E2)))</formula>
    </cfRule>
  </conditionalFormatting>
  <conditionalFormatting sqref="G4">
    <cfRule type="cellIs" dxfId="298" priority="92" operator="equal">
      <formula>"OK, next step"</formula>
    </cfRule>
  </conditionalFormatting>
  <conditionalFormatting sqref="H32">
    <cfRule type="expression" dxfId="297" priority="50">
      <formula>$K$31=1</formula>
    </cfRule>
  </conditionalFormatting>
  <conditionalFormatting sqref="B10:I10">
    <cfRule type="expression" dxfId="296" priority="47">
      <formula>$C$8&lt;&gt;""</formula>
    </cfRule>
  </conditionalFormatting>
  <conditionalFormatting sqref="B33:I33">
    <cfRule type="expression" dxfId="295" priority="46">
      <formula>$C$31="selection of applications for the selected brand is pending -&gt; back to sheet applications"</formula>
    </cfRule>
  </conditionalFormatting>
  <conditionalFormatting sqref="G11">
    <cfRule type="expression" dxfId="294" priority="200">
      <formula>$O$11=0</formula>
    </cfRule>
  </conditionalFormatting>
  <conditionalFormatting sqref="G12">
    <cfRule type="expression" dxfId="293" priority="57">
      <formula>$O$12=0</formula>
    </cfRule>
  </conditionalFormatting>
  <conditionalFormatting sqref="G13">
    <cfRule type="expression" dxfId="292" priority="45">
      <formula>$O$13=0</formula>
    </cfRule>
  </conditionalFormatting>
  <conditionalFormatting sqref="G14">
    <cfRule type="expression" dxfId="291" priority="44">
      <formula>$O$14=0</formula>
    </cfRule>
  </conditionalFormatting>
  <conditionalFormatting sqref="G15">
    <cfRule type="expression" dxfId="290" priority="43">
      <formula>$O$15=0</formula>
    </cfRule>
  </conditionalFormatting>
  <conditionalFormatting sqref="G16">
    <cfRule type="expression" dxfId="289" priority="42">
      <formula>$O$16=0</formula>
    </cfRule>
  </conditionalFormatting>
  <conditionalFormatting sqref="G17">
    <cfRule type="expression" dxfId="288" priority="41">
      <formula>$O$17=0</formula>
    </cfRule>
  </conditionalFormatting>
  <conditionalFormatting sqref="G18">
    <cfRule type="expression" dxfId="287" priority="40">
      <formula>$O$18=0</formula>
    </cfRule>
  </conditionalFormatting>
  <conditionalFormatting sqref="G19">
    <cfRule type="expression" dxfId="286" priority="39">
      <formula>$O$19=0</formula>
    </cfRule>
  </conditionalFormatting>
  <conditionalFormatting sqref="G20">
    <cfRule type="expression" dxfId="285" priority="38">
      <formula>$O$20=0</formula>
    </cfRule>
  </conditionalFormatting>
  <conditionalFormatting sqref="G21">
    <cfRule type="expression" dxfId="284" priority="37">
      <formula>$O$21=0</formula>
    </cfRule>
  </conditionalFormatting>
  <conditionalFormatting sqref="G22">
    <cfRule type="expression" dxfId="283" priority="36">
      <formula>$O$22=0</formula>
    </cfRule>
  </conditionalFormatting>
  <conditionalFormatting sqref="G23">
    <cfRule type="expression" dxfId="282" priority="35">
      <formula>$O$23=0</formula>
    </cfRule>
  </conditionalFormatting>
  <conditionalFormatting sqref="G24">
    <cfRule type="expression" dxfId="281" priority="34">
      <formula>$O$24=0</formula>
    </cfRule>
  </conditionalFormatting>
  <conditionalFormatting sqref="G25">
    <cfRule type="expression" dxfId="280" priority="33">
      <formula>$O$25=0</formula>
    </cfRule>
  </conditionalFormatting>
  <conditionalFormatting sqref="G26">
    <cfRule type="expression" dxfId="279" priority="32">
      <formula>$O$26=0</formula>
    </cfRule>
  </conditionalFormatting>
  <conditionalFormatting sqref="G27">
    <cfRule type="expression" dxfId="278" priority="31">
      <formula>$O$27=0</formula>
    </cfRule>
  </conditionalFormatting>
  <conditionalFormatting sqref="G28">
    <cfRule type="expression" dxfId="277" priority="30">
      <formula>$O$28=0</formula>
    </cfRule>
  </conditionalFormatting>
  <conditionalFormatting sqref="G34">
    <cfRule type="expression" dxfId="276" priority="105">
      <formula>$O$34=0</formula>
    </cfRule>
  </conditionalFormatting>
  <conditionalFormatting sqref="G35">
    <cfRule type="expression" dxfId="275" priority="99">
      <formula>$O$35=0</formula>
    </cfRule>
  </conditionalFormatting>
  <conditionalFormatting sqref="G36">
    <cfRule type="expression" dxfId="274" priority="28">
      <formula>$O$36=0</formula>
    </cfRule>
  </conditionalFormatting>
  <conditionalFormatting sqref="G37">
    <cfRule type="expression" dxfId="273" priority="27">
      <formula>$O$37=0</formula>
    </cfRule>
  </conditionalFormatting>
  <conditionalFormatting sqref="G38">
    <cfRule type="expression" dxfId="272" priority="26">
      <formula>$O$38=0</formula>
    </cfRule>
  </conditionalFormatting>
  <conditionalFormatting sqref="G39">
    <cfRule type="expression" dxfId="271" priority="25">
      <formula>$O$39=0</formula>
    </cfRule>
  </conditionalFormatting>
  <conditionalFormatting sqref="G40">
    <cfRule type="expression" dxfId="270" priority="24">
      <formula>$O$40=0</formula>
    </cfRule>
  </conditionalFormatting>
  <conditionalFormatting sqref="G41">
    <cfRule type="expression" dxfId="269" priority="23">
      <formula>$O$41=0</formula>
    </cfRule>
  </conditionalFormatting>
  <conditionalFormatting sqref="G42">
    <cfRule type="expression" dxfId="268" priority="22">
      <formula>$O$42=0</formula>
    </cfRule>
  </conditionalFormatting>
  <conditionalFormatting sqref="G43">
    <cfRule type="expression" dxfId="267" priority="21">
      <formula>$O$43=0</formula>
    </cfRule>
  </conditionalFormatting>
  <conditionalFormatting sqref="G44">
    <cfRule type="expression" dxfId="266" priority="20">
      <formula>$O$44=0</formula>
    </cfRule>
  </conditionalFormatting>
  <conditionalFormatting sqref="G45">
    <cfRule type="expression" dxfId="265" priority="19">
      <formula>$O$45=0</formula>
    </cfRule>
  </conditionalFormatting>
  <conditionalFormatting sqref="G46">
    <cfRule type="expression" dxfId="264" priority="18">
      <formula>$O$46=0</formula>
    </cfRule>
  </conditionalFormatting>
  <conditionalFormatting sqref="G47">
    <cfRule type="expression" dxfId="263" priority="17">
      <formula>$O$47=0</formula>
    </cfRule>
  </conditionalFormatting>
  <conditionalFormatting sqref="G48">
    <cfRule type="expression" dxfId="262" priority="16">
      <formula>$O$48=0</formula>
    </cfRule>
  </conditionalFormatting>
  <conditionalFormatting sqref="G49">
    <cfRule type="expression" dxfId="261" priority="15">
      <formula>$O$49=0</formula>
    </cfRule>
  </conditionalFormatting>
  <conditionalFormatting sqref="G50">
    <cfRule type="expression" dxfId="260" priority="14">
      <formula>$O$50=0</formula>
    </cfRule>
  </conditionalFormatting>
  <conditionalFormatting sqref="G51">
    <cfRule type="expression" dxfId="259" priority="13">
      <formula>$O$51=0</formula>
    </cfRule>
  </conditionalFormatting>
  <conditionalFormatting sqref="I2">
    <cfRule type="cellIs" dxfId="258" priority="6" operator="equal">
      <formula>"waiting for completion"</formula>
    </cfRule>
    <cfRule type="cellIs" dxfId="257" priority="8" operator="equal">
      <formula>"OK, next step"</formula>
    </cfRule>
  </conditionalFormatting>
  <conditionalFormatting sqref="I3">
    <cfRule type="cellIs" dxfId="256" priority="7" operator="equal">
      <formula>"waiting for completion"</formula>
    </cfRule>
  </conditionalFormatting>
  <conditionalFormatting sqref="B5:I5">
    <cfRule type="expression" dxfId="255" priority="1">
      <formula>$I$2="OK, next step"</formula>
    </cfRule>
  </conditionalFormatting>
  <pageMargins left="0.19685039370078741" right="0.27559055118110237" top="0.39370078740157483" bottom="0.39370078740157483" header="0.31496062992125984" footer="0.31496062992125984"/>
  <pageSetup paperSize="9" scale="7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3" id="{EC45132C-533C-47BC-9C12-58ACDE0B3E13}">
            <xm:f>applications!$C$7=""</xm:f>
            <x14:dxf>
              <font>
                <color theme="0"/>
              </font>
              <fill>
                <patternFill>
                  <bgColor theme="0"/>
                </patternFill>
              </fill>
              <border>
                <left/>
                <right/>
                <top/>
                <bottom style="thin">
                  <color theme="0"/>
                </bottom>
              </border>
            </x14:dxf>
          </x14:cfRule>
          <xm:sqref>B31:I31 B33:I51 B32:G32</xm:sqref>
        </x14:conditionalFormatting>
        <x14:conditionalFormatting xmlns:xm="http://schemas.microsoft.com/office/excel/2006/main">
          <x14:cfRule type="expression" priority="2" id="{90464CDD-9680-40E2-B66F-5A1BEBECEEDF}">
            <xm:f>applications!$C$6:$C$7=""</xm:f>
            <x14:dxf>
              <font>
                <color theme="0"/>
              </font>
              <fill>
                <patternFill>
                  <bgColor theme="0"/>
                </patternFill>
              </fill>
              <border>
                <left/>
                <right/>
                <top/>
                <bottom/>
                <vertical/>
                <horizontal/>
              </border>
            </x14:dxf>
          </x14:cfRule>
          <xm:sqref>B10:I31 B32:G32 B33:I51</xm:sqref>
        </x14:conditionalFormatting>
        <x14:conditionalFormatting xmlns:xm="http://schemas.microsoft.com/office/excel/2006/main">
          <x14:cfRule type="expression" priority="55" id="{4F7AE2F2-4449-435B-892F-4131E1D30ED9}">
            <xm:f>applications!$C$7=""</xm:f>
            <x14:dxf>
              <font>
                <color theme="0"/>
              </font>
              <fill>
                <patternFill>
                  <bgColor theme="0"/>
                </patternFill>
              </fill>
              <border>
                <left/>
                <right/>
                <top/>
                <bottom style="thin">
                  <color theme="0"/>
                </bottom>
              </border>
            </x14:dxf>
          </x14:cfRule>
          <xm:sqref>H33</xm:sqref>
        </x14:conditionalFormatting>
        <x14:conditionalFormatting xmlns:xm="http://schemas.microsoft.com/office/excel/2006/main">
          <x14:cfRule type="expression" priority="49" id="{DD21A7E0-CD02-4469-843A-3F855C96F66B}">
            <xm:f>applications!$C$7=""</xm:f>
            <x14:dxf>
              <font>
                <color theme="0"/>
              </font>
              <fill>
                <patternFill>
                  <bgColor theme="0"/>
                </patternFill>
              </fill>
              <border>
                <left/>
                <right/>
                <top/>
                <bottom style="thin">
                  <color theme="0"/>
                </bottom>
              </border>
            </x14:dxf>
          </x14:cfRule>
          <xm:sqref>H32</xm:sqref>
        </x14:conditionalFormatting>
        <x14:conditionalFormatting xmlns:xm="http://schemas.microsoft.com/office/excel/2006/main">
          <x14:cfRule type="expression" priority="48" id="{DDA1ED4B-D661-4D58-8A1A-A0D2EDA870E0}">
            <xm:f>applications!$C$6:$C$7=""</xm:f>
            <x14:dxf>
              <font>
                <color theme="0"/>
              </font>
              <fill>
                <patternFill>
                  <bgColor theme="0"/>
                </patternFill>
              </fill>
              <border>
                <left/>
                <right/>
                <top/>
                <bottom/>
                <vertical/>
                <horizontal/>
              </border>
            </x14:dxf>
          </x14:cfRule>
          <xm:sqref>H32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use selection" prompt="use selection" xr:uid="{00000000-0002-0000-0400-000000000000}">
          <x14:formula1>
            <xm:f>Tabelle1!$B$2:$B$5</xm:f>
          </x14:formula1>
          <xm:sqref>D34:D51 D11:D28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19A6-F9D8-4355-95C0-F71208DFFA42}">
  <sheetPr>
    <tabColor rgb="FFFFFFCC"/>
  </sheetPr>
  <dimension ref="A1:S25"/>
  <sheetViews>
    <sheetView showRowColHeaders="0" showZeros="0" workbookViewId="0">
      <selection activeCell="B2" sqref="B2"/>
    </sheetView>
  </sheetViews>
  <sheetFormatPr baseColWidth="10" defaultColWidth="11.5703125" defaultRowHeight="15" x14ac:dyDescent="0.25"/>
  <cols>
    <col min="1" max="1" width="3.7109375" style="549" customWidth="1"/>
    <col min="2" max="3" width="37.5703125" style="713" customWidth="1"/>
    <col min="4" max="4" width="11.5703125" style="713"/>
    <col min="5" max="5" width="23.85546875" style="713" customWidth="1"/>
    <col min="6" max="7" width="22.28515625" style="701" customWidth="1"/>
    <col min="8" max="8" width="25.7109375" style="701" customWidth="1"/>
    <col min="9" max="9" width="33.5703125" style="386" customWidth="1"/>
    <col min="10" max="10" width="3.7109375" style="711" customWidth="1"/>
    <col min="11" max="15" width="4.5703125" style="711" customWidth="1"/>
    <col min="16" max="17" width="11.5703125" style="711"/>
    <col min="18" max="19" width="11.5703125" style="712"/>
    <col min="20" max="16384" width="11.5703125" style="701"/>
  </cols>
  <sheetData>
    <row r="1" spans="1:19" ht="35.450000000000003" customHeight="1" x14ac:dyDescent="0.25">
      <c r="A1" s="912"/>
      <c r="B1" s="913"/>
      <c r="C1" s="913"/>
      <c r="D1" s="913"/>
      <c r="E1" s="913"/>
      <c r="F1" s="914"/>
      <c r="G1" s="914"/>
      <c r="H1" s="914"/>
      <c r="I1" s="915"/>
    </row>
    <row r="2" spans="1:19" ht="35.450000000000003" customHeight="1" x14ac:dyDescent="0.25">
      <c r="A2" s="916"/>
      <c r="B2" s="917" t="s">
        <v>993</v>
      </c>
      <c r="C2" s="918" t="str">
        <f>IF('company data'!B56&lt;&gt;"yes","sheet CLOSED /  to OPEN select-&gt; further locations with data access= YES","")</f>
        <v>sheet CLOSED /  to OPEN select-&gt; further locations with data access= YES</v>
      </c>
      <c r="D2" s="919"/>
      <c r="E2" s="919"/>
      <c r="F2" s="920"/>
      <c r="G2" s="920"/>
      <c r="H2" s="1035" t="s">
        <v>1132</v>
      </c>
      <c r="I2" s="1035"/>
      <c r="J2" s="934"/>
    </row>
    <row r="3" spans="1:19" ht="25.9" customHeight="1" x14ac:dyDescent="0.25">
      <c r="A3" s="921"/>
      <c r="B3" s="919" t="s">
        <v>1002</v>
      </c>
      <c r="C3" s="922"/>
      <c r="D3" s="922"/>
      <c r="E3" s="922"/>
      <c r="F3" s="923"/>
      <c r="G3" s="923"/>
      <c r="H3" s="1035"/>
      <c r="I3" s="1035"/>
    </row>
    <row r="4" spans="1:19" ht="2.4500000000000002" customHeight="1" x14ac:dyDescent="0.25">
      <c r="A4" s="924"/>
      <c r="B4" s="925"/>
      <c r="C4" s="926"/>
      <c r="D4" s="926"/>
      <c r="E4" s="926"/>
      <c r="F4" s="927"/>
      <c r="G4" s="927"/>
      <c r="H4" s="927"/>
      <c r="I4" s="928"/>
    </row>
    <row r="5" spans="1:19" s="716" customFormat="1" ht="22.15" customHeight="1" x14ac:dyDescent="0.25">
      <c r="A5" s="929" t="s">
        <v>994</v>
      </c>
      <c r="B5" s="930" t="s">
        <v>995</v>
      </c>
      <c r="C5" s="930" t="s">
        <v>996</v>
      </c>
      <c r="D5" s="930" t="s">
        <v>997</v>
      </c>
      <c r="E5" s="930" t="s">
        <v>998</v>
      </c>
      <c r="F5" s="931" t="s">
        <v>999</v>
      </c>
      <c r="G5" s="931" t="s">
        <v>1000</v>
      </c>
      <c r="H5" s="930" t="s">
        <v>1001</v>
      </c>
      <c r="I5" s="932" t="s">
        <v>1007</v>
      </c>
      <c r="J5" s="714"/>
      <c r="K5" s="714"/>
      <c r="L5" s="714"/>
      <c r="M5" s="714"/>
      <c r="N5" s="714"/>
      <c r="O5" s="714"/>
      <c r="P5" s="714">
        <f>SUM(P6:P25)</f>
        <v>0</v>
      </c>
      <c r="Q5" s="715">
        <f>MOD(SUM(Q6:Q25),10)</f>
        <v>0</v>
      </c>
      <c r="R5" s="714">
        <f>SUM(Q6:Q7)</f>
        <v>0</v>
      </c>
      <c r="S5" s="714"/>
    </row>
    <row r="6" spans="1:19" x14ac:dyDescent="0.25">
      <c r="A6" s="933">
        <v>1</v>
      </c>
      <c r="B6" s="717"/>
      <c r="C6" s="717"/>
      <c r="D6" s="720"/>
      <c r="E6" s="717"/>
      <c r="F6" s="717"/>
      <c r="G6" s="718"/>
      <c r="H6" s="911" t="str">
        <f>IF(P6&lt;1,"",IF(P6&lt;6,"data incomplete","data complete"))</f>
        <v/>
      </c>
      <c r="I6" s="719"/>
      <c r="J6" s="711">
        <f t="shared" ref="J6:O25" si="0">IF(B6="",0,1)</f>
        <v>0</v>
      </c>
      <c r="K6" s="711">
        <f t="shared" si="0"/>
        <v>0</v>
      </c>
      <c r="L6" s="711">
        <f t="shared" si="0"/>
        <v>0</v>
      </c>
      <c r="M6" s="711">
        <f t="shared" si="0"/>
        <v>0</v>
      </c>
      <c r="N6" s="711">
        <f t="shared" si="0"/>
        <v>0</v>
      </c>
      <c r="O6" s="711">
        <f t="shared" si="0"/>
        <v>0</v>
      </c>
      <c r="P6" s="711">
        <f>SUM(J6:O6)</f>
        <v>0</v>
      </c>
      <c r="Q6" s="711">
        <f>IF(P6&gt;0,IF(P6&lt;6,1,10),0)</f>
        <v>0</v>
      </c>
      <c r="R6" s="711"/>
      <c r="S6" s="711"/>
    </row>
    <row r="7" spans="1:19" x14ac:dyDescent="0.25">
      <c r="A7" s="933">
        <v>2</v>
      </c>
      <c r="B7" s="720"/>
      <c r="C7" s="720"/>
      <c r="D7" s="720"/>
      <c r="E7" s="720"/>
      <c r="F7" s="721"/>
      <c r="G7" s="718"/>
      <c r="H7" s="911" t="str">
        <f t="shared" ref="H7:H25" si="1">IF(P7&lt;1,"",IF(P7&lt;6,"data incomplete","data complete"))</f>
        <v/>
      </c>
      <c r="I7" s="719"/>
      <c r="J7" s="711">
        <f t="shared" si="0"/>
        <v>0</v>
      </c>
      <c r="K7" s="711">
        <f t="shared" si="0"/>
        <v>0</v>
      </c>
      <c r="L7" s="711">
        <f t="shared" si="0"/>
        <v>0</v>
      </c>
      <c r="M7" s="711">
        <f t="shared" si="0"/>
        <v>0</v>
      </c>
      <c r="N7" s="711">
        <f t="shared" si="0"/>
        <v>0</v>
      </c>
      <c r="O7" s="711">
        <f t="shared" si="0"/>
        <v>0</v>
      </c>
      <c r="P7" s="711">
        <f t="shared" ref="P7:P25" si="2">SUM(J7:O7)</f>
        <v>0</v>
      </c>
      <c r="Q7" s="711">
        <f t="shared" ref="Q7:Q25" si="3">IF(P7&gt;0,IF(P7&lt;6,1,10),0)</f>
        <v>0</v>
      </c>
      <c r="R7" s="711"/>
      <c r="S7" s="711"/>
    </row>
    <row r="8" spans="1:19" x14ac:dyDescent="0.25">
      <c r="A8" s="933">
        <v>3</v>
      </c>
      <c r="B8" s="720"/>
      <c r="C8" s="720"/>
      <c r="D8" s="720"/>
      <c r="E8" s="720"/>
      <c r="F8" s="721"/>
      <c r="G8" s="718"/>
      <c r="H8" s="911" t="str">
        <f t="shared" si="1"/>
        <v/>
      </c>
      <c r="I8" s="719"/>
      <c r="J8" s="711">
        <f t="shared" si="0"/>
        <v>0</v>
      </c>
      <c r="K8" s="711">
        <f t="shared" si="0"/>
        <v>0</v>
      </c>
      <c r="L8" s="711">
        <f t="shared" si="0"/>
        <v>0</v>
      </c>
      <c r="M8" s="711">
        <f t="shared" si="0"/>
        <v>0</v>
      </c>
      <c r="N8" s="711">
        <f t="shared" si="0"/>
        <v>0</v>
      </c>
      <c r="O8" s="711">
        <f t="shared" si="0"/>
        <v>0</v>
      </c>
      <c r="P8" s="711">
        <f t="shared" si="2"/>
        <v>0</v>
      </c>
      <c r="Q8" s="711">
        <f t="shared" si="3"/>
        <v>0</v>
      </c>
      <c r="R8" s="711"/>
      <c r="S8" s="711"/>
    </row>
    <row r="9" spans="1:19" x14ac:dyDescent="0.25">
      <c r="A9" s="933">
        <v>4</v>
      </c>
      <c r="B9" s="720"/>
      <c r="C9" s="720"/>
      <c r="D9" s="720"/>
      <c r="E9" s="720"/>
      <c r="F9" s="721"/>
      <c r="G9" s="718"/>
      <c r="H9" s="911" t="str">
        <f t="shared" si="1"/>
        <v/>
      </c>
      <c r="I9" s="719"/>
      <c r="J9" s="711">
        <f t="shared" si="0"/>
        <v>0</v>
      </c>
      <c r="K9" s="711">
        <f t="shared" si="0"/>
        <v>0</v>
      </c>
      <c r="L9" s="711">
        <f t="shared" si="0"/>
        <v>0</v>
      </c>
      <c r="M9" s="711">
        <f t="shared" si="0"/>
        <v>0</v>
      </c>
      <c r="N9" s="711">
        <f t="shared" si="0"/>
        <v>0</v>
      </c>
      <c r="O9" s="711">
        <f t="shared" si="0"/>
        <v>0</v>
      </c>
      <c r="P9" s="711">
        <f t="shared" si="2"/>
        <v>0</v>
      </c>
      <c r="Q9" s="711">
        <f t="shared" si="3"/>
        <v>0</v>
      </c>
      <c r="R9" s="711"/>
      <c r="S9" s="711"/>
    </row>
    <row r="10" spans="1:19" x14ac:dyDescent="0.25">
      <c r="A10" s="933">
        <v>5</v>
      </c>
      <c r="B10" s="720"/>
      <c r="C10" s="720"/>
      <c r="D10" s="720"/>
      <c r="E10" s="720"/>
      <c r="F10" s="721"/>
      <c r="G10" s="718"/>
      <c r="H10" s="911" t="str">
        <f t="shared" si="1"/>
        <v/>
      </c>
      <c r="I10" s="719"/>
      <c r="J10" s="711">
        <f t="shared" si="0"/>
        <v>0</v>
      </c>
      <c r="K10" s="711">
        <f t="shared" si="0"/>
        <v>0</v>
      </c>
      <c r="L10" s="711">
        <f t="shared" si="0"/>
        <v>0</v>
      </c>
      <c r="M10" s="711">
        <f t="shared" si="0"/>
        <v>0</v>
      </c>
      <c r="N10" s="711">
        <f t="shared" si="0"/>
        <v>0</v>
      </c>
      <c r="O10" s="711">
        <f t="shared" si="0"/>
        <v>0</v>
      </c>
      <c r="P10" s="711">
        <f t="shared" si="2"/>
        <v>0</v>
      </c>
      <c r="Q10" s="711">
        <f t="shared" si="3"/>
        <v>0</v>
      </c>
      <c r="R10" s="711"/>
      <c r="S10" s="711"/>
    </row>
    <row r="11" spans="1:19" x14ac:dyDescent="0.25">
      <c r="A11" s="933">
        <v>6</v>
      </c>
      <c r="B11" s="720"/>
      <c r="C11" s="720"/>
      <c r="D11" s="720"/>
      <c r="E11" s="720"/>
      <c r="F11" s="721"/>
      <c r="G11" s="718"/>
      <c r="H11" s="911" t="str">
        <f t="shared" si="1"/>
        <v/>
      </c>
      <c r="I11" s="719"/>
      <c r="J11" s="711">
        <f t="shared" si="0"/>
        <v>0</v>
      </c>
      <c r="K11" s="711">
        <f t="shared" si="0"/>
        <v>0</v>
      </c>
      <c r="L11" s="711">
        <f t="shared" si="0"/>
        <v>0</v>
      </c>
      <c r="M11" s="711">
        <f t="shared" si="0"/>
        <v>0</v>
      </c>
      <c r="N11" s="711">
        <f t="shared" si="0"/>
        <v>0</v>
      </c>
      <c r="O11" s="711">
        <f t="shared" si="0"/>
        <v>0</v>
      </c>
      <c r="P11" s="711">
        <f t="shared" si="2"/>
        <v>0</v>
      </c>
      <c r="Q11" s="711">
        <f t="shared" si="3"/>
        <v>0</v>
      </c>
      <c r="R11" s="711"/>
      <c r="S11" s="711"/>
    </row>
    <row r="12" spans="1:19" x14ac:dyDescent="0.25">
      <c r="A12" s="933">
        <v>7</v>
      </c>
      <c r="B12" s="720"/>
      <c r="C12" s="720"/>
      <c r="D12" s="720"/>
      <c r="E12" s="720"/>
      <c r="F12" s="721"/>
      <c r="G12" s="718"/>
      <c r="H12" s="911" t="str">
        <f t="shared" si="1"/>
        <v/>
      </c>
      <c r="I12" s="719"/>
      <c r="J12" s="711">
        <f t="shared" si="0"/>
        <v>0</v>
      </c>
      <c r="K12" s="711">
        <f t="shared" si="0"/>
        <v>0</v>
      </c>
      <c r="L12" s="711">
        <f t="shared" si="0"/>
        <v>0</v>
      </c>
      <c r="M12" s="711">
        <f t="shared" si="0"/>
        <v>0</v>
      </c>
      <c r="N12" s="711">
        <f t="shared" si="0"/>
        <v>0</v>
      </c>
      <c r="O12" s="711">
        <f t="shared" si="0"/>
        <v>0</v>
      </c>
      <c r="P12" s="711">
        <f t="shared" si="2"/>
        <v>0</v>
      </c>
      <c r="Q12" s="711">
        <f t="shared" si="3"/>
        <v>0</v>
      </c>
      <c r="R12" s="711"/>
      <c r="S12" s="711"/>
    </row>
    <row r="13" spans="1:19" x14ac:dyDescent="0.25">
      <c r="A13" s="933">
        <v>8</v>
      </c>
      <c r="B13" s="720"/>
      <c r="C13" s="720"/>
      <c r="D13" s="720"/>
      <c r="E13" s="720"/>
      <c r="F13" s="721"/>
      <c r="G13" s="718"/>
      <c r="H13" s="911" t="str">
        <f t="shared" si="1"/>
        <v/>
      </c>
      <c r="I13" s="719"/>
      <c r="J13" s="711">
        <f t="shared" si="0"/>
        <v>0</v>
      </c>
      <c r="K13" s="711">
        <f t="shared" si="0"/>
        <v>0</v>
      </c>
      <c r="L13" s="711">
        <f t="shared" si="0"/>
        <v>0</v>
      </c>
      <c r="M13" s="711">
        <f t="shared" si="0"/>
        <v>0</v>
      </c>
      <c r="N13" s="711">
        <f t="shared" si="0"/>
        <v>0</v>
      </c>
      <c r="O13" s="711">
        <f t="shared" si="0"/>
        <v>0</v>
      </c>
      <c r="P13" s="711">
        <f t="shared" si="2"/>
        <v>0</v>
      </c>
      <c r="Q13" s="711">
        <f t="shared" si="3"/>
        <v>0</v>
      </c>
      <c r="R13" s="711"/>
      <c r="S13" s="711"/>
    </row>
    <row r="14" spans="1:19" x14ac:dyDescent="0.25">
      <c r="A14" s="933">
        <v>9</v>
      </c>
      <c r="B14" s="720"/>
      <c r="C14" s="720"/>
      <c r="D14" s="720"/>
      <c r="E14" s="720"/>
      <c r="F14" s="721"/>
      <c r="G14" s="718"/>
      <c r="H14" s="911" t="str">
        <f t="shared" si="1"/>
        <v/>
      </c>
      <c r="I14" s="719"/>
      <c r="J14" s="711">
        <f t="shared" si="0"/>
        <v>0</v>
      </c>
      <c r="K14" s="711">
        <f t="shared" si="0"/>
        <v>0</v>
      </c>
      <c r="L14" s="711">
        <f t="shared" si="0"/>
        <v>0</v>
      </c>
      <c r="M14" s="711">
        <f t="shared" si="0"/>
        <v>0</v>
      </c>
      <c r="N14" s="711">
        <f t="shared" si="0"/>
        <v>0</v>
      </c>
      <c r="O14" s="711">
        <f t="shared" si="0"/>
        <v>0</v>
      </c>
      <c r="P14" s="711">
        <f t="shared" si="2"/>
        <v>0</v>
      </c>
      <c r="Q14" s="711">
        <f t="shared" si="3"/>
        <v>0</v>
      </c>
      <c r="R14" s="711"/>
      <c r="S14" s="711"/>
    </row>
    <row r="15" spans="1:19" x14ac:dyDescent="0.25">
      <c r="A15" s="933">
        <v>10</v>
      </c>
      <c r="B15" s="720"/>
      <c r="C15" s="720"/>
      <c r="D15" s="720"/>
      <c r="E15" s="720"/>
      <c r="F15" s="721"/>
      <c r="G15" s="718"/>
      <c r="H15" s="911" t="str">
        <f t="shared" si="1"/>
        <v/>
      </c>
      <c r="I15" s="719"/>
      <c r="J15" s="711">
        <f t="shared" si="0"/>
        <v>0</v>
      </c>
      <c r="K15" s="711">
        <f t="shared" si="0"/>
        <v>0</v>
      </c>
      <c r="L15" s="711">
        <f t="shared" si="0"/>
        <v>0</v>
      </c>
      <c r="M15" s="711">
        <f t="shared" si="0"/>
        <v>0</v>
      </c>
      <c r="N15" s="711">
        <f t="shared" si="0"/>
        <v>0</v>
      </c>
      <c r="O15" s="711">
        <f t="shared" si="0"/>
        <v>0</v>
      </c>
      <c r="P15" s="711">
        <f t="shared" si="2"/>
        <v>0</v>
      </c>
      <c r="Q15" s="711">
        <f t="shared" si="3"/>
        <v>0</v>
      </c>
      <c r="R15" s="711"/>
      <c r="S15" s="711"/>
    </row>
    <row r="16" spans="1:19" x14ac:dyDescent="0.25">
      <c r="A16" s="933">
        <v>11</v>
      </c>
      <c r="B16" s="720"/>
      <c r="C16" s="720"/>
      <c r="D16" s="720"/>
      <c r="E16" s="720"/>
      <c r="F16" s="721"/>
      <c r="G16" s="718"/>
      <c r="H16" s="911" t="str">
        <f t="shared" si="1"/>
        <v/>
      </c>
      <c r="I16" s="719"/>
      <c r="J16" s="711">
        <f t="shared" si="0"/>
        <v>0</v>
      </c>
      <c r="K16" s="711">
        <f t="shared" si="0"/>
        <v>0</v>
      </c>
      <c r="L16" s="711">
        <f t="shared" si="0"/>
        <v>0</v>
      </c>
      <c r="M16" s="711">
        <f t="shared" si="0"/>
        <v>0</v>
      </c>
      <c r="N16" s="711">
        <f t="shared" si="0"/>
        <v>0</v>
      </c>
      <c r="O16" s="711">
        <f t="shared" si="0"/>
        <v>0</v>
      </c>
      <c r="P16" s="711">
        <f t="shared" si="2"/>
        <v>0</v>
      </c>
      <c r="Q16" s="711">
        <f t="shared" si="3"/>
        <v>0</v>
      </c>
      <c r="R16" s="711"/>
      <c r="S16" s="711"/>
    </row>
    <row r="17" spans="1:19" x14ac:dyDescent="0.25">
      <c r="A17" s="933">
        <v>12</v>
      </c>
      <c r="B17" s="720"/>
      <c r="C17" s="720"/>
      <c r="D17" s="720"/>
      <c r="E17" s="720"/>
      <c r="F17" s="721"/>
      <c r="G17" s="718"/>
      <c r="H17" s="911" t="str">
        <f t="shared" si="1"/>
        <v/>
      </c>
      <c r="I17" s="719"/>
      <c r="J17" s="711">
        <f t="shared" si="0"/>
        <v>0</v>
      </c>
      <c r="K17" s="711">
        <f t="shared" si="0"/>
        <v>0</v>
      </c>
      <c r="L17" s="711">
        <f t="shared" si="0"/>
        <v>0</v>
      </c>
      <c r="M17" s="711">
        <f t="shared" si="0"/>
        <v>0</v>
      </c>
      <c r="N17" s="711">
        <f t="shared" si="0"/>
        <v>0</v>
      </c>
      <c r="O17" s="711">
        <f t="shared" si="0"/>
        <v>0</v>
      </c>
      <c r="P17" s="711">
        <f t="shared" si="2"/>
        <v>0</v>
      </c>
      <c r="Q17" s="711">
        <f t="shared" si="3"/>
        <v>0</v>
      </c>
      <c r="R17" s="711"/>
      <c r="S17" s="711"/>
    </row>
    <row r="18" spans="1:19" x14ac:dyDescent="0.25">
      <c r="A18" s="933">
        <v>13</v>
      </c>
      <c r="B18" s="720"/>
      <c r="C18" s="720"/>
      <c r="D18" s="720"/>
      <c r="E18" s="720"/>
      <c r="F18" s="721"/>
      <c r="G18" s="718"/>
      <c r="H18" s="911" t="str">
        <f t="shared" si="1"/>
        <v/>
      </c>
      <c r="I18" s="719"/>
      <c r="J18" s="711">
        <f t="shared" si="0"/>
        <v>0</v>
      </c>
      <c r="K18" s="711">
        <f t="shared" si="0"/>
        <v>0</v>
      </c>
      <c r="L18" s="711">
        <f t="shared" si="0"/>
        <v>0</v>
      </c>
      <c r="M18" s="711">
        <f t="shared" si="0"/>
        <v>0</v>
      </c>
      <c r="N18" s="711">
        <f t="shared" si="0"/>
        <v>0</v>
      </c>
      <c r="O18" s="711">
        <f t="shared" si="0"/>
        <v>0</v>
      </c>
      <c r="P18" s="711">
        <f t="shared" si="2"/>
        <v>0</v>
      </c>
      <c r="Q18" s="711">
        <f t="shared" si="3"/>
        <v>0</v>
      </c>
      <c r="R18" s="711"/>
      <c r="S18" s="711"/>
    </row>
    <row r="19" spans="1:19" x14ac:dyDescent="0.25">
      <c r="A19" s="933">
        <v>14</v>
      </c>
      <c r="B19" s="720"/>
      <c r="C19" s="720"/>
      <c r="D19" s="720"/>
      <c r="E19" s="720"/>
      <c r="F19" s="721"/>
      <c r="G19" s="718"/>
      <c r="H19" s="911" t="str">
        <f t="shared" si="1"/>
        <v/>
      </c>
      <c r="I19" s="719"/>
      <c r="J19" s="711">
        <f t="shared" si="0"/>
        <v>0</v>
      </c>
      <c r="K19" s="711">
        <f t="shared" si="0"/>
        <v>0</v>
      </c>
      <c r="L19" s="711">
        <f t="shared" si="0"/>
        <v>0</v>
      </c>
      <c r="M19" s="711">
        <f t="shared" si="0"/>
        <v>0</v>
      </c>
      <c r="N19" s="711">
        <f t="shared" si="0"/>
        <v>0</v>
      </c>
      <c r="O19" s="711">
        <f t="shared" si="0"/>
        <v>0</v>
      </c>
      <c r="P19" s="711">
        <f t="shared" si="2"/>
        <v>0</v>
      </c>
      <c r="Q19" s="711">
        <f t="shared" si="3"/>
        <v>0</v>
      </c>
      <c r="R19" s="711"/>
      <c r="S19" s="711"/>
    </row>
    <row r="20" spans="1:19" x14ac:dyDescent="0.25">
      <c r="A20" s="933">
        <v>15</v>
      </c>
      <c r="B20" s="720"/>
      <c r="C20" s="720"/>
      <c r="D20" s="720"/>
      <c r="E20" s="720"/>
      <c r="F20" s="721"/>
      <c r="G20" s="718"/>
      <c r="H20" s="911" t="str">
        <f t="shared" si="1"/>
        <v/>
      </c>
      <c r="I20" s="719"/>
      <c r="J20" s="711">
        <f t="shared" si="0"/>
        <v>0</v>
      </c>
      <c r="K20" s="711">
        <f t="shared" si="0"/>
        <v>0</v>
      </c>
      <c r="L20" s="711">
        <f t="shared" si="0"/>
        <v>0</v>
      </c>
      <c r="M20" s="711">
        <f t="shared" si="0"/>
        <v>0</v>
      </c>
      <c r="N20" s="711">
        <f t="shared" si="0"/>
        <v>0</v>
      </c>
      <c r="O20" s="711">
        <f t="shared" si="0"/>
        <v>0</v>
      </c>
      <c r="P20" s="711">
        <f t="shared" si="2"/>
        <v>0</v>
      </c>
      <c r="Q20" s="711">
        <f t="shared" si="3"/>
        <v>0</v>
      </c>
      <c r="R20" s="711"/>
      <c r="S20" s="711"/>
    </row>
    <row r="21" spans="1:19" x14ac:dyDescent="0.25">
      <c r="A21" s="933">
        <v>16</v>
      </c>
      <c r="B21" s="720"/>
      <c r="C21" s="720"/>
      <c r="D21" s="720"/>
      <c r="E21" s="720"/>
      <c r="F21" s="721"/>
      <c r="G21" s="718"/>
      <c r="H21" s="911" t="str">
        <f t="shared" si="1"/>
        <v/>
      </c>
      <c r="I21" s="719"/>
      <c r="J21" s="711">
        <f t="shared" si="0"/>
        <v>0</v>
      </c>
      <c r="K21" s="711">
        <f t="shared" si="0"/>
        <v>0</v>
      </c>
      <c r="L21" s="711">
        <f t="shared" si="0"/>
        <v>0</v>
      </c>
      <c r="M21" s="711">
        <f t="shared" si="0"/>
        <v>0</v>
      </c>
      <c r="N21" s="711">
        <f t="shared" si="0"/>
        <v>0</v>
      </c>
      <c r="O21" s="711">
        <f t="shared" si="0"/>
        <v>0</v>
      </c>
      <c r="P21" s="711">
        <f t="shared" si="2"/>
        <v>0</v>
      </c>
      <c r="Q21" s="711">
        <f t="shared" si="3"/>
        <v>0</v>
      </c>
      <c r="R21" s="711"/>
      <c r="S21" s="711"/>
    </row>
    <row r="22" spans="1:19" x14ac:dyDescent="0.25">
      <c r="A22" s="933">
        <v>17</v>
      </c>
      <c r="B22" s="720"/>
      <c r="C22" s="720"/>
      <c r="D22" s="720"/>
      <c r="E22" s="720"/>
      <c r="F22" s="721"/>
      <c r="G22" s="718"/>
      <c r="H22" s="911" t="str">
        <f t="shared" si="1"/>
        <v/>
      </c>
      <c r="I22" s="719"/>
      <c r="J22" s="711">
        <f t="shared" si="0"/>
        <v>0</v>
      </c>
      <c r="K22" s="711">
        <f t="shared" si="0"/>
        <v>0</v>
      </c>
      <c r="L22" s="711">
        <f t="shared" si="0"/>
        <v>0</v>
      </c>
      <c r="M22" s="711">
        <f t="shared" si="0"/>
        <v>0</v>
      </c>
      <c r="N22" s="711">
        <f t="shared" si="0"/>
        <v>0</v>
      </c>
      <c r="O22" s="711">
        <f t="shared" si="0"/>
        <v>0</v>
      </c>
      <c r="P22" s="711">
        <f t="shared" si="2"/>
        <v>0</v>
      </c>
      <c r="Q22" s="711">
        <f t="shared" si="3"/>
        <v>0</v>
      </c>
      <c r="R22" s="711"/>
      <c r="S22" s="711"/>
    </row>
    <row r="23" spans="1:19" x14ac:dyDescent="0.25">
      <c r="A23" s="933">
        <v>18</v>
      </c>
      <c r="B23" s="720"/>
      <c r="C23" s="720"/>
      <c r="D23" s="720"/>
      <c r="E23" s="720"/>
      <c r="F23" s="721"/>
      <c r="G23" s="718"/>
      <c r="H23" s="911" t="str">
        <f t="shared" si="1"/>
        <v/>
      </c>
      <c r="I23" s="719"/>
      <c r="J23" s="711">
        <f t="shared" si="0"/>
        <v>0</v>
      </c>
      <c r="K23" s="711">
        <f t="shared" si="0"/>
        <v>0</v>
      </c>
      <c r="L23" s="711">
        <f t="shared" si="0"/>
        <v>0</v>
      </c>
      <c r="M23" s="711">
        <f t="shared" si="0"/>
        <v>0</v>
      </c>
      <c r="N23" s="711">
        <f t="shared" si="0"/>
        <v>0</v>
      </c>
      <c r="O23" s="711">
        <f t="shared" si="0"/>
        <v>0</v>
      </c>
      <c r="P23" s="711">
        <f t="shared" si="2"/>
        <v>0</v>
      </c>
      <c r="Q23" s="711">
        <f t="shared" si="3"/>
        <v>0</v>
      </c>
      <c r="R23" s="711"/>
      <c r="S23" s="711"/>
    </row>
    <row r="24" spans="1:19" x14ac:dyDescent="0.25">
      <c r="A24" s="933">
        <v>19</v>
      </c>
      <c r="B24" s="720"/>
      <c r="C24" s="720"/>
      <c r="D24" s="720"/>
      <c r="E24" s="720"/>
      <c r="F24" s="721"/>
      <c r="G24" s="718"/>
      <c r="H24" s="911" t="str">
        <f t="shared" si="1"/>
        <v/>
      </c>
      <c r="I24" s="719"/>
      <c r="J24" s="711">
        <f t="shared" si="0"/>
        <v>0</v>
      </c>
      <c r="K24" s="711">
        <f t="shared" si="0"/>
        <v>0</v>
      </c>
      <c r="L24" s="711">
        <f t="shared" si="0"/>
        <v>0</v>
      </c>
      <c r="M24" s="711">
        <f t="shared" si="0"/>
        <v>0</v>
      </c>
      <c r="N24" s="711">
        <f t="shared" si="0"/>
        <v>0</v>
      </c>
      <c r="O24" s="711">
        <f t="shared" si="0"/>
        <v>0</v>
      </c>
      <c r="P24" s="711">
        <f t="shared" si="2"/>
        <v>0</v>
      </c>
      <c r="Q24" s="711">
        <f t="shared" si="3"/>
        <v>0</v>
      </c>
      <c r="R24" s="711"/>
      <c r="S24" s="711"/>
    </row>
    <row r="25" spans="1:19" x14ac:dyDescent="0.25">
      <c r="A25" s="933">
        <v>20</v>
      </c>
      <c r="B25" s="720"/>
      <c r="C25" s="720"/>
      <c r="D25" s="720"/>
      <c r="E25" s="720"/>
      <c r="F25" s="721"/>
      <c r="G25" s="718"/>
      <c r="H25" s="911" t="str">
        <f t="shared" si="1"/>
        <v/>
      </c>
      <c r="I25" s="719"/>
      <c r="J25" s="711">
        <f t="shared" si="0"/>
        <v>0</v>
      </c>
      <c r="K25" s="711">
        <f t="shared" si="0"/>
        <v>0</v>
      </c>
      <c r="L25" s="711">
        <f t="shared" si="0"/>
        <v>0</v>
      </c>
      <c r="M25" s="711">
        <f t="shared" si="0"/>
        <v>0</v>
      </c>
      <c r="N25" s="711">
        <f t="shared" si="0"/>
        <v>0</v>
      </c>
      <c r="O25" s="711">
        <f t="shared" si="0"/>
        <v>0</v>
      </c>
      <c r="P25" s="711">
        <f t="shared" si="2"/>
        <v>0</v>
      </c>
      <c r="Q25" s="711">
        <f t="shared" si="3"/>
        <v>0</v>
      </c>
      <c r="R25" s="711"/>
      <c r="S25" s="711"/>
    </row>
  </sheetData>
  <sheetProtection algorithmName="SHA-512" hashValue="JW7bLGSKjPoLOi/+q43FQ65BjzcwladI0HULsVzl66+aZWMn2VA8FV/8gCa5NpRrN5BP3szNamKRMfl188F9Jg==" saltValue="RgNZ8grOtW1wnHDtsognyg==" spinCount="100000" sheet="1" objects="1" scenarios="1"/>
  <mergeCells count="1">
    <mergeCell ref="H2:I3"/>
  </mergeCells>
  <conditionalFormatting sqref="H6:H25">
    <cfRule type="cellIs" dxfId="249" priority="4" operator="equal">
      <formula>"data incomplete"</formula>
    </cfRule>
    <cfRule type="cellIs" dxfId="248" priority="5" operator="equal">
      <formula>"data complete"</formula>
    </cfRule>
  </conditionalFormatting>
  <dataValidations count="1">
    <dataValidation type="whole" allowBlank="1" showInputMessage="1" showErrorMessage="1" sqref="G6:G25" xr:uid="{34D24765-2129-4F7B-BA09-3441953AA57D}">
      <formula1>0</formula1>
      <formula2>999999999</formula2>
    </dataValidation>
  </dataValidations>
  <pageMargins left="0.7" right="0.7" top="0.78740157499999996" bottom="0.78740157499999996"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926CC145-F3AC-4313-A497-BEF96C7CACEA}">
            <xm:f>'company data'!$B$56&lt;&gt;"yes"</xm:f>
            <x14:dxf>
              <fill>
                <patternFill>
                  <bgColor theme="1" tint="0.34998626667073579"/>
                </patternFill>
              </fill>
            </x14:dxf>
          </x14:cfRule>
          <xm:sqref>B6:I25</xm:sqref>
        </x14:conditionalFormatting>
        <x14:conditionalFormatting xmlns:xm="http://schemas.microsoft.com/office/excel/2006/main">
          <x14:cfRule type="expression" priority="1" id="{1BAC1F5A-45D3-4042-B8BD-85175BD23FDA}">
            <xm:f>'company data'!$B$56&lt;&gt;"yes"</xm:f>
            <x14:dxf>
              <fill>
                <patternFill>
                  <bgColor theme="0" tint="-0.24994659260841701"/>
                </patternFill>
              </fill>
            </x14:dxf>
          </x14:cfRule>
          <xm:sqref>A3:G3 A2:H2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6FDD74CC-738B-4C4E-815E-0FA7ACF3005E}">
          <x14:formula1>
            <xm:f>'D:\CSN\Arbeitsverzeichnis Dokumente\Freigabeversionen\CSN_CSN-AS\1_Deutsch\2_Infodokumente\Arbeitsstände\[CSN-Steckbrief_1.13_deutsch.xlsx]public.landessprache'!#REF!</xm:f>
          </x14:formula1>
          <xm:sqref>F7:F25</xm:sqref>
        </x14:dataValidation>
        <x14:dataValidation type="list" allowBlank="1" showInputMessage="1" showErrorMessage="1" xr:uid="{83096896-162C-4CA3-ADA6-B2593066A710}">
          <x14:formula1>
            <xm:f>public.landessprache!$B$2:$B$231</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C9F194-CC9A-44BC-A989-DDD8EDCE1817}">
  <sheetPr>
    <tabColor rgb="FFFFFF00"/>
    <outlinePr showOutlineSymbols="0"/>
  </sheetPr>
  <dimension ref="A1:U65"/>
  <sheetViews>
    <sheetView showGridLines="0" showRowColHeaders="0" showZeros="0" showOutlineSymbols="0" zoomScaleNormal="100" workbookViewId="0">
      <selection activeCell="I6" sqref="I6"/>
    </sheetView>
  </sheetViews>
  <sheetFormatPr baseColWidth="10" defaultColWidth="11.42578125" defaultRowHeight="15" x14ac:dyDescent="0.25"/>
  <cols>
    <col min="1" max="1" width="2.85546875" style="652" customWidth="1"/>
    <col min="2" max="2" width="27" style="837" customWidth="1"/>
    <col min="3" max="3" width="37.5703125" style="837" customWidth="1"/>
    <col min="4" max="4" width="35.5703125" style="837" customWidth="1"/>
    <col min="5" max="5" width="9.85546875" style="837" customWidth="1"/>
    <col min="6" max="6" width="19.7109375" style="380" customWidth="1"/>
    <col min="7" max="7" width="16.140625" style="380" customWidth="1"/>
    <col min="8" max="8" width="11.28515625" style="380" customWidth="1"/>
    <col min="9" max="9" width="32.28515625" style="838" customWidth="1"/>
    <col min="10" max="10" width="10.140625" style="378" customWidth="1"/>
    <col min="11" max="11" width="14.5703125" style="378" customWidth="1"/>
    <col min="12" max="12" width="17" style="378" customWidth="1"/>
    <col min="13" max="13" width="21.85546875" style="378" customWidth="1"/>
    <col min="14" max="14" width="3.28515625" style="378" customWidth="1"/>
    <col min="15" max="15" width="3.42578125" style="378" customWidth="1"/>
    <col min="16" max="16" width="10.28515625" style="378" customWidth="1"/>
    <col min="17" max="20" width="11.42578125" style="378" customWidth="1"/>
    <col min="21" max="21" width="11.42578125" style="378"/>
    <col min="22" max="16384" width="11.42578125" style="380"/>
  </cols>
  <sheetData>
    <row r="1" spans="1:21" s="834" customFormat="1" ht="108" customHeight="1" x14ac:dyDescent="0.25">
      <c r="A1" s="830"/>
      <c r="B1" s="831"/>
      <c r="C1" s="831"/>
      <c r="D1" s="831"/>
      <c r="E1" s="831"/>
      <c r="F1" s="832"/>
      <c r="G1" s="832"/>
      <c r="H1" s="832"/>
      <c r="I1" s="833"/>
      <c r="J1" s="383"/>
      <c r="K1" s="383"/>
      <c r="L1" s="383"/>
      <c r="M1" s="383"/>
      <c r="N1" s="383"/>
      <c r="O1" s="383"/>
      <c r="P1" s="383"/>
      <c r="Q1" s="383"/>
      <c r="R1" s="383"/>
      <c r="S1" s="383"/>
      <c r="T1" s="383"/>
      <c r="U1" s="383"/>
    </row>
    <row r="2" spans="1:21" ht="65.25" customHeight="1" x14ac:dyDescent="0.25">
      <c r="A2" s="835"/>
      <c r="B2" s="1040" t="s">
        <v>1089</v>
      </c>
      <c r="C2" s="1040"/>
      <c r="D2" s="1040"/>
      <c r="E2" s="1040"/>
      <c r="F2" s="1041" t="s">
        <v>1121</v>
      </c>
      <c r="G2" s="1041"/>
      <c r="H2" s="1041"/>
      <c r="I2" s="1041"/>
      <c r="J2" s="1041"/>
      <c r="K2" s="1042" t="s">
        <v>1133</v>
      </c>
      <c r="L2" s="1043"/>
      <c r="M2" s="1044"/>
    </row>
    <row r="3" spans="1:21" ht="2.4500000000000002" customHeight="1" x14ac:dyDescent="0.25">
      <c r="B3" s="836"/>
    </row>
    <row r="4" spans="1:21" s="660" customFormat="1" ht="46.5" customHeight="1" x14ac:dyDescent="0.25">
      <c r="A4" s="1038" t="s">
        <v>994</v>
      </c>
      <c r="B4" s="1039"/>
      <c r="C4" s="839" t="s">
        <v>995</v>
      </c>
      <c r="D4" s="839" t="s">
        <v>996</v>
      </c>
      <c r="E4" s="839" t="s">
        <v>997</v>
      </c>
      <c r="F4" s="839" t="s">
        <v>998</v>
      </c>
      <c r="G4" s="840" t="s">
        <v>999</v>
      </c>
      <c r="H4" s="840" t="s">
        <v>808</v>
      </c>
      <c r="I4" s="841" t="s">
        <v>1095</v>
      </c>
      <c r="J4" s="842" t="s">
        <v>1096</v>
      </c>
      <c r="K4" s="842" t="s">
        <v>1097</v>
      </c>
      <c r="L4" s="843" t="s">
        <v>1098</v>
      </c>
      <c r="M4" s="844" t="s">
        <v>1001</v>
      </c>
      <c r="N4" s="845" t="s">
        <v>1082</v>
      </c>
      <c r="O4" s="845" t="s">
        <v>1083</v>
      </c>
      <c r="P4" s="845" t="s">
        <v>1084</v>
      </c>
      <c r="Q4" s="455"/>
      <c r="R4" s="845" t="s">
        <v>1085</v>
      </c>
      <c r="S4" s="845" t="s">
        <v>1086</v>
      </c>
      <c r="T4" s="845" t="s">
        <v>1087</v>
      </c>
      <c r="U4" s="455"/>
    </row>
    <row r="5" spans="1:21" s="660" customFormat="1" ht="40.5" customHeight="1" x14ac:dyDescent="0.25">
      <c r="A5" s="846"/>
      <c r="B5" s="847" t="s">
        <v>1093</v>
      </c>
      <c r="C5" s="848"/>
      <c r="D5" s="1045" t="s">
        <v>1099</v>
      </c>
      <c r="E5" s="1046"/>
      <c r="F5" s="1046"/>
      <c r="G5" s="1047"/>
      <c r="H5" s="849"/>
      <c r="I5" s="850"/>
      <c r="J5" s="851"/>
      <c r="K5" s="851"/>
      <c r="L5" s="851"/>
      <c r="M5" s="852"/>
      <c r="N5" s="455"/>
      <c r="O5" s="455"/>
      <c r="P5" s="455"/>
      <c r="Q5" s="455"/>
      <c r="R5" s="455"/>
      <c r="S5" s="455"/>
      <c r="T5" s="455"/>
      <c r="U5" s="455"/>
    </row>
    <row r="6" spans="1:21" s="660" customFormat="1" ht="14.25" customHeight="1" x14ac:dyDescent="0.25">
      <c r="A6" s="853">
        <v>1</v>
      </c>
      <c r="B6" s="854" t="s">
        <v>1090</v>
      </c>
      <c r="C6" s="855">
        <f>'company data'!B16</f>
        <v>0</v>
      </c>
      <c r="D6" s="855">
        <f>'company data'!B17</f>
        <v>0</v>
      </c>
      <c r="E6" s="856">
        <f>'company data'!B18</f>
        <v>0</v>
      </c>
      <c r="F6" s="855">
        <f>'company data'!B19</f>
        <v>0</v>
      </c>
      <c r="G6" s="855">
        <f>'company data'!B20</f>
        <v>0</v>
      </c>
      <c r="H6" s="857">
        <f>'company data'!B21</f>
        <v>0</v>
      </c>
      <c r="I6" s="858"/>
      <c r="J6" s="859"/>
      <c r="K6" s="859"/>
      <c r="L6" s="860"/>
      <c r="M6" s="861" t="str">
        <f>IF(N6=0,"no location information",IF(O6=0,"missing label information",IF(P6=1,"missing validity information","")))</f>
        <v>no location information</v>
      </c>
      <c r="N6" s="862">
        <f>IF('company data'!B16="",0,1)</f>
        <v>0</v>
      </c>
      <c r="O6" s="455">
        <f t="shared" ref="O6:O8" si="0">IF(I6="",0,1)</f>
        <v>0</v>
      </c>
      <c r="P6" s="455">
        <f t="shared" ref="P6:P7" si="1">IF(R6=TRUE,0,1)</f>
        <v>0</v>
      </c>
      <c r="Q6" s="455"/>
      <c r="R6" s="455" t="b">
        <f>ISERROR(VLOOKUP(I6,Stammdaten!A45:A47,1,))</f>
        <v>1</v>
      </c>
      <c r="S6" s="455">
        <f>IF(J6="",0,1)</f>
        <v>0</v>
      </c>
      <c r="T6" s="863">
        <f>IF(M6="missing validity information",IF(S6=1,1,0),100)</f>
        <v>100</v>
      </c>
      <c r="U6" s="455"/>
    </row>
    <row r="7" spans="1:21" s="660" customFormat="1" ht="0.75" customHeight="1" x14ac:dyDescent="0.25">
      <c r="A7" s="853">
        <v>2</v>
      </c>
      <c r="B7" s="864" t="s">
        <v>1092</v>
      </c>
      <c r="C7" s="865">
        <f>'company data'!B41</f>
        <v>0</v>
      </c>
      <c r="D7" s="865">
        <f>'company data'!B42</f>
        <v>0</v>
      </c>
      <c r="E7" s="866">
        <f>'company data'!B43</f>
        <v>0</v>
      </c>
      <c r="F7" s="865">
        <f>'company data'!B44</f>
        <v>0</v>
      </c>
      <c r="G7" s="865">
        <f>'company data'!B45</f>
        <v>0</v>
      </c>
      <c r="H7" s="867">
        <f>'company data'!B54</f>
        <v>0</v>
      </c>
      <c r="I7" s="868" t="s">
        <v>1088</v>
      </c>
      <c r="J7" s="859">
        <v>44104</v>
      </c>
      <c r="K7" s="859"/>
      <c r="L7" s="859"/>
      <c r="M7" s="861" t="str">
        <f>IF(N7=0,"no location information",IF(O7=0,"missing label information",IF(P7=1,"missing validity information","")))</f>
        <v>no location information</v>
      </c>
      <c r="N7" s="862">
        <f>IF('company data'!B41="",0,1)</f>
        <v>0</v>
      </c>
      <c r="O7" s="455">
        <f t="shared" si="0"/>
        <v>1</v>
      </c>
      <c r="P7" s="455">
        <f t="shared" si="1"/>
        <v>0</v>
      </c>
      <c r="Q7" s="455"/>
      <c r="R7" s="455" t="b">
        <f>ISERROR(VLOOKUP(I7,Stammdaten!A45:A47,1,))</f>
        <v>1</v>
      </c>
      <c r="S7" s="455">
        <f>IF(J7="",0,1)</f>
        <v>1</v>
      </c>
      <c r="T7" s="863">
        <f>IF(M7="missing validity information",IF(S7=1,1,0),100)</f>
        <v>100</v>
      </c>
      <c r="U7" s="455"/>
    </row>
    <row r="8" spans="1:21" s="660" customFormat="1" ht="15.75" customHeight="1" x14ac:dyDescent="0.25">
      <c r="A8" s="853">
        <v>2</v>
      </c>
      <c r="B8" s="854" t="s">
        <v>1091</v>
      </c>
      <c r="C8" s="865">
        <f>'company data'!B49</f>
        <v>0</v>
      </c>
      <c r="D8" s="865">
        <f>'company data'!B50</f>
        <v>0</v>
      </c>
      <c r="E8" s="866">
        <f>'company data'!B51</f>
        <v>0</v>
      </c>
      <c r="F8" s="865">
        <f>'company data'!B52</f>
        <v>0</v>
      </c>
      <c r="G8" s="865">
        <f>'company data'!B53</f>
        <v>0</v>
      </c>
      <c r="H8" s="867">
        <f>'company data'!B54</f>
        <v>0</v>
      </c>
      <c r="I8" s="868"/>
      <c r="J8" s="859"/>
      <c r="K8" s="859"/>
      <c r="L8" s="859"/>
      <c r="M8" s="958" t="str">
        <f>IF(N8=0,"no location information",IF(O8=0,"missing label information",IF(P8=1,"missing validity information","")))</f>
        <v>no location information</v>
      </c>
      <c r="N8" s="862">
        <f>IF('company data'!B49="",0,1)</f>
        <v>0</v>
      </c>
      <c r="O8" s="455">
        <f t="shared" si="0"/>
        <v>0</v>
      </c>
      <c r="P8" s="455">
        <f>IF(R8=TRUE,0,1)</f>
        <v>0</v>
      </c>
      <c r="Q8" s="455"/>
      <c r="R8" s="455" t="b">
        <f>ISERROR(VLOOKUP(I8,Stammdaten!A45:A47,1,))</f>
        <v>1</v>
      </c>
      <c r="S8" s="455">
        <f>IF(J8="",0,1)</f>
        <v>0</v>
      </c>
      <c r="T8" s="863">
        <f>IF(M8="missing validity information",IF(S8=1,1,0),100)</f>
        <v>100</v>
      </c>
      <c r="U8" s="455"/>
    </row>
    <row r="9" spans="1:21" ht="45.75" customHeight="1" x14ac:dyDescent="0.25">
      <c r="A9" s="869"/>
      <c r="B9" s="870" t="s">
        <v>1094</v>
      </c>
      <c r="C9" s="871"/>
      <c r="D9" s="871"/>
      <c r="E9" s="871"/>
      <c r="F9" s="871"/>
      <c r="G9" s="871"/>
      <c r="H9" s="872"/>
      <c r="I9" s="873"/>
      <c r="J9" s="874"/>
      <c r="K9" s="874"/>
      <c r="L9" s="875"/>
      <c r="M9" s="876"/>
      <c r="N9" s="455"/>
      <c r="O9" s="455"/>
      <c r="P9" s="455"/>
      <c r="R9" s="455"/>
      <c r="S9" s="455"/>
      <c r="T9" s="863"/>
    </row>
    <row r="10" spans="1:21" s="660" customFormat="1" x14ac:dyDescent="0.25">
      <c r="A10" s="853">
        <v>3</v>
      </c>
      <c r="B10" s="854" t="s">
        <v>1091</v>
      </c>
      <c r="C10" s="865">
        <f>'add on data access locations'!B6</f>
        <v>0</v>
      </c>
      <c r="D10" s="865">
        <f>'add on data access locations'!C6</f>
        <v>0</v>
      </c>
      <c r="E10" s="866">
        <f>'add on data access locations'!D6</f>
        <v>0</v>
      </c>
      <c r="F10" s="865">
        <f>'add on data access locations'!E6</f>
        <v>0</v>
      </c>
      <c r="G10" s="865">
        <f>'add on data access locations'!F6</f>
        <v>0</v>
      </c>
      <c r="H10" s="867">
        <f>'add on data access locations'!G6</f>
        <v>0</v>
      </c>
      <c r="I10" s="868"/>
      <c r="J10" s="859"/>
      <c r="K10" s="859"/>
      <c r="L10" s="859"/>
      <c r="M10" s="861" t="str">
        <f t="shared" ref="M10:M26" si="2">IF(N10=0,"",IF(O10=0,"missing label information",IF(P10=1,"missing validity information","")))</f>
        <v/>
      </c>
      <c r="N10" s="862">
        <f>IF('add on data access locations'!B6="",0,1)</f>
        <v>0</v>
      </c>
      <c r="O10" s="455">
        <f t="shared" ref="O10:O26" si="3">IF(I10="",0,1)</f>
        <v>0</v>
      </c>
      <c r="P10" s="455">
        <f t="shared" ref="P10:P26" si="4">IF(R10=TRUE,0,1)</f>
        <v>0</v>
      </c>
      <c r="Q10" s="455"/>
      <c r="R10" s="455" t="b">
        <f>ISERROR(VLOOKUP(I10,Stammdaten!A45:A47,1,))</f>
        <v>1</v>
      </c>
      <c r="S10" s="455">
        <f t="shared" ref="S10:S26" si="5">IF(J10="",0,1)</f>
        <v>0</v>
      </c>
      <c r="T10" s="863">
        <f t="shared" ref="T10:T26" si="6">IF(M10="missing validity information",IF(S10=1,1,0),100)</f>
        <v>100</v>
      </c>
      <c r="U10" s="455"/>
    </row>
    <row r="11" spans="1:21" s="660" customFormat="1" x14ac:dyDescent="0.25">
      <c r="A11" s="853">
        <v>4</v>
      </c>
      <c r="B11" s="854" t="s">
        <v>1091</v>
      </c>
      <c r="C11" s="866">
        <f>'add on data access locations'!B7</f>
        <v>0</v>
      </c>
      <c r="D11" s="866">
        <f>'add on data access locations'!C7</f>
        <v>0</v>
      </c>
      <c r="E11" s="866">
        <f>'add on data access locations'!D7</f>
        <v>0</v>
      </c>
      <c r="F11" s="866">
        <f>'add on data access locations'!E7</f>
        <v>0</v>
      </c>
      <c r="G11" s="865">
        <f>'add on data access locations'!F7</f>
        <v>0</v>
      </c>
      <c r="H11" s="867">
        <f>'add on data access locations'!G7</f>
        <v>0</v>
      </c>
      <c r="I11" s="868"/>
      <c r="J11" s="859"/>
      <c r="K11" s="859"/>
      <c r="L11" s="859"/>
      <c r="M11" s="861" t="str">
        <f t="shared" si="2"/>
        <v/>
      </c>
      <c r="N11" s="862">
        <f>IF('add on data access locations'!B7="",0,1)</f>
        <v>0</v>
      </c>
      <c r="O11" s="455">
        <f t="shared" si="3"/>
        <v>0</v>
      </c>
      <c r="P11" s="455">
        <f t="shared" si="4"/>
        <v>0</v>
      </c>
      <c r="Q11" s="455"/>
      <c r="R11" s="455" t="b">
        <f>ISERROR(VLOOKUP(I11,Stammdaten!A45:A47,1,))</f>
        <v>1</v>
      </c>
      <c r="S11" s="455">
        <f t="shared" si="5"/>
        <v>0</v>
      </c>
      <c r="T11" s="863">
        <f t="shared" si="6"/>
        <v>100</v>
      </c>
      <c r="U11" s="455"/>
    </row>
    <row r="12" spans="1:21" s="660" customFormat="1" x14ac:dyDescent="0.25">
      <c r="A12" s="853">
        <v>5</v>
      </c>
      <c r="B12" s="854" t="s">
        <v>1091</v>
      </c>
      <c r="C12" s="866">
        <f>'add on data access locations'!B8</f>
        <v>0</v>
      </c>
      <c r="D12" s="866">
        <f>'add on data access locations'!C8</f>
        <v>0</v>
      </c>
      <c r="E12" s="866">
        <f>'add on data access locations'!D8</f>
        <v>0</v>
      </c>
      <c r="F12" s="866">
        <f>'add on data access locations'!E8</f>
        <v>0</v>
      </c>
      <c r="G12" s="865">
        <f>'add on data access locations'!F8</f>
        <v>0</v>
      </c>
      <c r="H12" s="867">
        <f>'add on data access locations'!G8</f>
        <v>0</v>
      </c>
      <c r="I12" s="868"/>
      <c r="J12" s="859"/>
      <c r="K12" s="859"/>
      <c r="L12" s="859"/>
      <c r="M12" s="861" t="str">
        <f t="shared" si="2"/>
        <v/>
      </c>
      <c r="N12" s="862">
        <f>IF('add on data access locations'!B8="",0,1)</f>
        <v>0</v>
      </c>
      <c r="O12" s="455">
        <f t="shared" si="3"/>
        <v>0</v>
      </c>
      <c r="P12" s="455">
        <f t="shared" si="4"/>
        <v>0</v>
      </c>
      <c r="Q12" s="455"/>
      <c r="R12" s="455" t="b">
        <f>ISERROR(VLOOKUP(I12,Stammdaten!A45:A47,1,))</f>
        <v>1</v>
      </c>
      <c r="S12" s="455">
        <f t="shared" si="5"/>
        <v>0</v>
      </c>
      <c r="T12" s="863">
        <f t="shared" si="6"/>
        <v>100</v>
      </c>
      <c r="U12" s="455"/>
    </row>
    <row r="13" spans="1:21" s="660" customFormat="1" x14ac:dyDescent="0.25">
      <c r="A13" s="853">
        <v>6</v>
      </c>
      <c r="B13" s="854" t="s">
        <v>1091</v>
      </c>
      <c r="C13" s="866">
        <f>'add on data access locations'!B9</f>
        <v>0</v>
      </c>
      <c r="D13" s="866">
        <f>'add on data access locations'!C9</f>
        <v>0</v>
      </c>
      <c r="E13" s="866">
        <f>'add on data access locations'!D9</f>
        <v>0</v>
      </c>
      <c r="F13" s="866">
        <f>'add on data access locations'!E9</f>
        <v>0</v>
      </c>
      <c r="G13" s="865">
        <f>'add on data access locations'!F9</f>
        <v>0</v>
      </c>
      <c r="H13" s="867">
        <f>'add on data access locations'!G9</f>
        <v>0</v>
      </c>
      <c r="I13" s="868"/>
      <c r="J13" s="859"/>
      <c r="K13" s="859"/>
      <c r="L13" s="859"/>
      <c r="M13" s="861" t="str">
        <f t="shared" si="2"/>
        <v/>
      </c>
      <c r="N13" s="862">
        <f>IF('add on data access locations'!B9="",0,1)</f>
        <v>0</v>
      </c>
      <c r="O13" s="455">
        <f t="shared" si="3"/>
        <v>0</v>
      </c>
      <c r="P13" s="455">
        <f t="shared" si="4"/>
        <v>0</v>
      </c>
      <c r="Q13" s="455"/>
      <c r="R13" s="455" t="b">
        <f>ISERROR(VLOOKUP(I13,Stammdaten!A45:A47,1,))</f>
        <v>1</v>
      </c>
      <c r="S13" s="455">
        <f t="shared" si="5"/>
        <v>0</v>
      </c>
      <c r="T13" s="863">
        <f t="shared" si="6"/>
        <v>100</v>
      </c>
      <c r="U13" s="455"/>
    </row>
    <row r="14" spans="1:21" s="660" customFormat="1" x14ac:dyDescent="0.25">
      <c r="A14" s="853">
        <v>7</v>
      </c>
      <c r="B14" s="854" t="s">
        <v>1091</v>
      </c>
      <c r="C14" s="866">
        <f>'add on data access locations'!B10</f>
        <v>0</v>
      </c>
      <c r="D14" s="866">
        <f>'add on data access locations'!C10</f>
        <v>0</v>
      </c>
      <c r="E14" s="866">
        <f>'add on data access locations'!D10</f>
        <v>0</v>
      </c>
      <c r="F14" s="866">
        <f>'add on data access locations'!E10</f>
        <v>0</v>
      </c>
      <c r="G14" s="865">
        <f>'add on data access locations'!F10</f>
        <v>0</v>
      </c>
      <c r="H14" s="867">
        <f>'add on data access locations'!G10</f>
        <v>0</v>
      </c>
      <c r="I14" s="868"/>
      <c r="J14" s="859"/>
      <c r="K14" s="859"/>
      <c r="L14" s="859"/>
      <c r="M14" s="861" t="str">
        <f t="shared" si="2"/>
        <v/>
      </c>
      <c r="N14" s="862">
        <f>IF('add on data access locations'!B10="",0,1)</f>
        <v>0</v>
      </c>
      <c r="O14" s="455">
        <f t="shared" si="3"/>
        <v>0</v>
      </c>
      <c r="P14" s="455">
        <f t="shared" si="4"/>
        <v>0</v>
      </c>
      <c r="Q14" s="455"/>
      <c r="R14" s="455" t="b">
        <f>ISERROR(VLOOKUP(I14,Stammdaten!A45:A47,1,))</f>
        <v>1</v>
      </c>
      <c r="S14" s="455">
        <f t="shared" si="5"/>
        <v>0</v>
      </c>
      <c r="T14" s="863">
        <f t="shared" si="6"/>
        <v>100</v>
      </c>
      <c r="U14" s="455"/>
    </row>
    <row r="15" spans="1:21" s="660" customFormat="1" x14ac:dyDescent="0.25">
      <c r="A15" s="853">
        <v>8</v>
      </c>
      <c r="B15" s="854" t="s">
        <v>1091</v>
      </c>
      <c r="C15" s="866">
        <f>'add on data access locations'!B11</f>
        <v>0</v>
      </c>
      <c r="D15" s="866">
        <f>'add on data access locations'!C11</f>
        <v>0</v>
      </c>
      <c r="E15" s="866">
        <f>'add on data access locations'!D11</f>
        <v>0</v>
      </c>
      <c r="F15" s="866">
        <f>'add on data access locations'!E11</f>
        <v>0</v>
      </c>
      <c r="G15" s="865">
        <f>'add on data access locations'!F11</f>
        <v>0</v>
      </c>
      <c r="H15" s="867">
        <f>'add on data access locations'!G11</f>
        <v>0</v>
      </c>
      <c r="I15" s="868"/>
      <c r="J15" s="859"/>
      <c r="K15" s="859"/>
      <c r="L15" s="859"/>
      <c r="M15" s="861" t="str">
        <f t="shared" si="2"/>
        <v/>
      </c>
      <c r="N15" s="862">
        <f>IF('add on data access locations'!B11="",0,1)</f>
        <v>0</v>
      </c>
      <c r="O15" s="455">
        <f t="shared" si="3"/>
        <v>0</v>
      </c>
      <c r="P15" s="455">
        <f t="shared" si="4"/>
        <v>0</v>
      </c>
      <c r="Q15" s="455"/>
      <c r="R15" s="455" t="b">
        <f>ISERROR(VLOOKUP(I15,Stammdaten!A45:A47,1,))</f>
        <v>1</v>
      </c>
      <c r="S15" s="455">
        <f t="shared" si="5"/>
        <v>0</v>
      </c>
      <c r="T15" s="863">
        <f t="shared" si="6"/>
        <v>100</v>
      </c>
      <c r="U15" s="455"/>
    </row>
    <row r="16" spans="1:21" s="660" customFormat="1" x14ac:dyDescent="0.25">
      <c r="A16" s="853">
        <v>9</v>
      </c>
      <c r="B16" s="854" t="s">
        <v>1091</v>
      </c>
      <c r="C16" s="866">
        <f>'add on data access locations'!B12</f>
        <v>0</v>
      </c>
      <c r="D16" s="866">
        <f>'add on data access locations'!C12</f>
        <v>0</v>
      </c>
      <c r="E16" s="866">
        <f>'add on data access locations'!D12</f>
        <v>0</v>
      </c>
      <c r="F16" s="866">
        <f>'add on data access locations'!E12</f>
        <v>0</v>
      </c>
      <c r="G16" s="865">
        <f>'add on data access locations'!F12</f>
        <v>0</v>
      </c>
      <c r="H16" s="867">
        <f>'add on data access locations'!G12</f>
        <v>0</v>
      </c>
      <c r="I16" s="868"/>
      <c r="J16" s="859"/>
      <c r="K16" s="859"/>
      <c r="L16" s="859"/>
      <c r="M16" s="861" t="str">
        <f t="shared" si="2"/>
        <v/>
      </c>
      <c r="N16" s="862">
        <f>IF('add on data access locations'!B12="",0,1)</f>
        <v>0</v>
      </c>
      <c r="O16" s="455">
        <f t="shared" si="3"/>
        <v>0</v>
      </c>
      <c r="P16" s="455">
        <f t="shared" si="4"/>
        <v>0</v>
      </c>
      <c r="Q16" s="455"/>
      <c r="R16" s="455" t="b">
        <f>ISERROR(VLOOKUP(I16,Stammdaten!A45:A47,1,))</f>
        <v>1</v>
      </c>
      <c r="S16" s="455">
        <f t="shared" si="5"/>
        <v>0</v>
      </c>
      <c r="T16" s="863">
        <f t="shared" si="6"/>
        <v>100</v>
      </c>
      <c r="U16" s="455"/>
    </row>
    <row r="17" spans="1:21" s="660" customFormat="1" x14ac:dyDescent="0.25">
      <c r="A17" s="853">
        <v>10</v>
      </c>
      <c r="B17" s="854" t="s">
        <v>1091</v>
      </c>
      <c r="C17" s="866">
        <f>'add on data access locations'!B13</f>
        <v>0</v>
      </c>
      <c r="D17" s="866">
        <f>'add on data access locations'!C13</f>
        <v>0</v>
      </c>
      <c r="E17" s="866">
        <f>'add on data access locations'!D13</f>
        <v>0</v>
      </c>
      <c r="F17" s="866">
        <f>'add on data access locations'!E13</f>
        <v>0</v>
      </c>
      <c r="G17" s="865">
        <f>'add on data access locations'!F13</f>
        <v>0</v>
      </c>
      <c r="H17" s="867">
        <f>'add on data access locations'!G13</f>
        <v>0</v>
      </c>
      <c r="I17" s="868"/>
      <c r="J17" s="859"/>
      <c r="K17" s="859"/>
      <c r="L17" s="859"/>
      <c r="M17" s="861" t="str">
        <f t="shared" si="2"/>
        <v/>
      </c>
      <c r="N17" s="862">
        <f>IF('add on data access locations'!B13="",0,1)</f>
        <v>0</v>
      </c>
      <c r="O17" s="455">
        <f t="shared" si="3"/>
        <v>0</v>
      </c>
      <c r="P17" s="455">
        <f t="shared" si="4"/>
        <v>0</v>
      </c>
      <c r="Q17" s="455"/>
      <c r="R17" s="455" t="b">
        <f>ISERROR(VLOOKUP(I17,Stammdaten!A45:A47,1,))</f>
        <v>1</v>
      </c>
      <c r="S17" s="455">
        <f t="shared" si="5"/>
        <v>0</v>
      </c>
      <c r="T17" s="863">
        <f t="shared" si="6"/>
        <v>100</v>
      </c>
      <c r="U17" s="455"/>
    </row>
    <row r="18" spans="1:21" s="660" customFormat="1" x14ac:dyDescent="0.25">
      <c r="A18" s="853">
        <v>11</v>
      </c>
      <c r="B18" s="854" t="s">
        <v>1091</v>
      </c>
      <c r="C18" s="866">
        <f>'add on data access locations'!B14</f>
        <v>0</v>
      </c>
      <c r="D18" s="866">
        <f>'add on data access locations'!C14</f>
        <v>0</v>
      </c>
      <c r="E18" s="866">
        <f>'add on data access locations'!D14</f>
        <v>0</v>
      </c>
      <c r="F18" s="866">
        <f>'add on data access locations'!E14</f>
        <v>0</v>
      </c>
      <c r="G18" s="865">
        <f>'add on data access locations'!F14</f>
        <v>0</v>
      </c>
      <c r="H18" s="867">
        <f>'add on data access locations'!G14</f>
        <v>0</v>
      </c>
      <c r="I18" s="868"/>
      <c r="J18" s="859"/>
      <c r="K18" s="859"/>
      <c r="L18" s="859"/>
      <c r="M18" s="861" t="str">
        <f t="shared" si="2"/>
        <v/>
      </c>
      <c r="N18" s="862">
        <f>IF('add on data access locations'!B14="",0,1)</f>
        <v>0</v>
      </c>
      <c r="O18" s="455">
        <f t="shared" si="3"/>
        <v>0</v>
      </c>
      <c r="P18" s="455">
        <f t="shared" si="4"/>
        <v>0</v>
      </c>
      <c r="Q18" s="455"/>
      <c r="R18" s="455" t="b">
        <f>ISERROR(VLOOKUP(I18,Stammdaten!A45:A47,1,))</f>
        <v>1</v>
      </c>
      <c r="S18" s="455">
        <f t="shared" si="5"/>
        <v>0</v>
      </c>
      <c r="T18" s="863">
        <f t="shared" si="6"/>
        <v>100</v>
      </c>
      <c r="U18" s="455"/>
    </row>
    <row r="19" spans="1:21" s="660" customFormat="1" x14ac:dyDescent="0.25">
      <c r="A19" s="853">
        <v>12</v>
      </c>
      <c r="B19" s="854" t="s">
        <v>1091</v>
      </c>
      <c r="C19" s="866">
        <f>'add on data access locations'!B15</f>
        <v>0</v>
      </c>
      <c r="D19" s="866">
        <f>'add on data access locations'!C15</f>
        <v>0</v>
      </c>
      <c r="E19" s="866">
        <f>'add on data access locations'!D15</f>
        <v>0</v>
      </c>
      <c r="F19" s="866">
        <f>'add on data access locations'!E15</f>
        <v>0</v>
      </c>
      <c r="G19" s="865">
        <f>'add on data access locations'!F15</f>
        <v>0</v>
      </c>
      <c r="H19" s="867">
        <f>'add on data access locations'!G15</f>
        <v>0</v>
      </c>
      <c r="I19" s="868"/>
      <c r="J19" s="859"/>
      <c r="K19" s="859"/>
      <c r="L19" s="859"/>
      <c r="M19" s="861" t="str">
        <f t="shared" si="2"/>
        <v/>
      </c>
      <c r="N19" s="862">
        <f>IF('add on data access locations'!B15="",0,1)</f>
        <v>0</v>
      </c>
      <c r="O19" s="455">
        <f t="shared" si="3"/>
        <v>0</v>
      </c>
      <c r="P19" s="455">
        <f t="shared" si="4"/>
        <v>0</v>
      </c>
      <c r="Q19" s="455"/>
      <c r="R19" s="455" t="b">
        <f>ISERROR(VLOOKUP(I19,Stammdaten!A45:A47,1,))</f>
        <v>1</v>
      </c>
      <c r="S19" s="455">
        <f t="shared" si="5"/>
        <v>0</v>
      </c>
      <c r="T19" s="863">
        <f t="shared" si="6"/>
        <v>100</v>
      </c>
      <c r="U19" s="455"/>
    </row>
    <row r="20" spans="1:21" s="660" customFormat="1" x14ac:dyDescent="0.25">
      <c r="A20" s="853">
        <v>13</v>
      </c>
      <c r="B20" s="854" t="s">
        <v>1091</v>
      </c>
      <c r="C20" s="866">
        <f>'add on data access locations'!B16</f>
        <v>0</v>
      </c>
      <c r="D20" s="866">
        <f>'add on data access locations'!C16</f>
        <v>0</v>
      </c>
      <c r="E20" s="866">
        <f>'add on data access locations'!D16</f>
        <v>0</v>
      </c>
      <c r="F20" s="866">
        <f>'add on data access locations'!E16</f>
        <v>0</v>
      </c>
      <c r="G20" s="865">
        <f>'add on data access locations'!F16</f>
        <v>0</v>
      </c>
      <c r="H20" s="867">
        <f>'add on data access locations'!G16</f>
        <v>0</v>
      </c>
      <c r="I20" s="868"/>
      <c r="J20" s="859"/>
      <c r="K20" s="859"/>
      <c r="L20" s="859"/>
      <c r="M20" s="861" t="str">
        <f t="shared" si="2"/>
        <v/>
      </c>
      <c r="N20" s="862">
        <f>IF('add on data access locations'!B16="",0,1)</f>
        <v>0</v>
      </c>
      <c r="O20" s="455">
        <f t="shared" si="3"/>
        <v>0</v>
      </c>
      <c r="P20" s="455">
        <f t="shared" si="4"/>
        <v>0</v>
      </c>
      <c r="Q20" s="455"/>
      <c r="R20" s="455" t="b">
        <f>ISERROR(VLOOKUP(I20,Stammdaten!A45:A47,1,))</f>
        <v>1</v>
      </c>
      <c r="S20" s="455">
        <f t="shared" si="5"/>
        <v>0</v>
      </c>
      <c r="T20" s="863">
        <f t="shared" si="6"/>
        <v>100</v>
      </c>
      <c r="U20" s="455"/>
    </row>
    <row r="21" spans="1:21" s="660" customFormat="1" x14ac:dyDescent="0.25">
      <c r="A21" s="853">
        <v>14</v>
      </c>
      <c r="B21" s="854" t="s">
        <v>1091</v>
      </c>
      <c r="C21" s="866">
        <f>'add on data access locations'!B17</f>
        <v>0</v>
      </c>
      <c r="D21" s="866">
        <f>'add on data access locations'!C17</f>
        <v>0</v>
      </c>
      <c r="E21" s="866">
        <f>'add on data access locations'!D17</f>
        <v>0</v>
      </c>
      <c r="F21" s="866">
        <f>'add on data access locations'!E17</f>
        <v>0</v>
      </c>
      <c r="G21" s="865">
        <f>'add on data access locations'!F17</f>
        <v>0</v>
      </c>
      <c r="H21" s="867">
        <f>'add on data access locations'!G17</f>
        <v>0</v>
      </c>
      <c r="I21" s="868"/>
      <c r="J21" s="859"/>
      <c r="K21" s="859"/>
      <c r="L21" s="859"/>
      <c r="M21" s="861" t="str">
        <f t="shared" si="2"/>
        <v/>
      </c>
      <c r="N21" s="862">
        <f>IF('add on data access locations'!B17="",0,1)</f>
        <v>0</v>
      </c>
      <c r="O21" s="455">
        <f t="shared" si="3"/>
        <v>0</v>
      </c>
      <c r="P21" s="455">
        <f t="shared" si="4"/>
        <v>0</v>
      </c>
      <c r="Q21" s="455"/>
      <c r="R21" s="455" t="b">
        <f>ISERROR(VLOOKUP(I21,Stammdaten!A45:A47,1,))</f>
        <v>1</v>
      </c>
      <c r="S21" s="455">
        <f t="shared" si="5"/>
        <v>0</v>
      </c>
      <c r="T21" s="863">
        <f t="shared" si="6"/>
        <v>100</v>
      </c>
      <c r="U21" s="455"/>
    </row>
    <row r="22" spans="1:21" s="660" customFormat="1" x14ac:dyDescent="0.25">
      <c r="A22" s="853">
        <v>15</v>
      </c>
      <c r="B22" s="854" t="s">
        <v>1091</v>
      </c>
      <c r="C22" s="866">
        <f>'add on data access locations'!B18</f>
        <v>0</v>
      </c>
      <c r="D22" s="866">
        <f>'add on data access locations'!C18</f>
        <v>0</v>
      </c>
      <c r="E22" s="866">
        <f>'add on data access locations'!D18</f>
        <v>0</v>
      </c>
      <c r="F22" s="866">
        <f>'add on data access locations'!E18</f>
        <v>0</v>
      </c>
      <c r="G22" s="865">
        <f>'add on data access locations'!F18</f>
        <v>0</v>
      </c>
      <c r="H22" s="867">
        <f>'add on data access locations'!G18</f>
        <v>0</v>
      </c>
      <c r="I22" s="868"/>
      <c r="J22" s="859"/>
      <c r="K22" s="859"/>
      <c r="L22" s="859"/>
      <c r="M22" s="861" t="str">
        <f t="shared" si="2"/>
        <v/>
      </c>
      <c r="N22" s="862">
        <f>IF('add on data access locations'!B18="",0,1)</f>
        <v>0</v>
      </c>
      <c r="O22" s="455">
        <f t="shared" si="3"/>
        <v>0</v>
      </c>
      <c r="P22" s="455">
        <f t="shared" si="4"/>
        <v>0</v>
      </c>
      <c r="Q22" s="455"/>
      <c r="R22" s="455" t="b">
        <f>ISERROR(VLOOKUP(I22,Stammdaten!A45:A47,1,))</f>
        <v>1</v>
      </c>
      <c r="S22" s="455">
        <f t="shared" si="5"/>
        <v>0</v>
      </c>
      <c r="T22" s="863">
        <f t="shared" si="6"/>
        <v>100</v>
      </c>
      <c r="U22" s="455"/>
    </row>
    <row r="23" spans="1:21" s="660" customFormat="1" x14ac:dyDescent="0.25">
      <c r="A23" s="853">
        <v>16</v>
      </c>
      <c r="B23" s="854" t="s">
        <v>1091</v>
      </c>
      <c r="C23" s="866">
        <f>'add on data access locations'!B19</f>
        <v>0</v>
      </c>
      <c r="D23" s="866">
        <f>'add on data access locations'!C19</f>
        <v>0</v>
      </c>
      <c r="E23" s="866">
        <f>'add on data access locations'!D19</f>
        <v>0</v>
      </c>
      <c r="F23" s="866">
        <f>'add on data access locations'!E19</f>
        <v>0</v>
      </c>
      <c r="G23" s="865">
        <f>'add on data access locations'!F19</f>
        <v>0</v>
      </c>
      <c r="H23" s="867">
        <f>'add on data access locations'!G19</f>
        <v>0</v>
      </c>
      <c r="I23" s="868"/>
      <c r="J23" s="859"/>
      <c r="K23" s="859"/>
      <c r="L23" s="859"/>
      <c r="M23" s="861" t="str">
        <f t="shared" si="2"/>
        <v/>
      </c>
      <c r="N23" s="862">
        <f>IF('add on data access locations'!B19="",0,1)</f>
        <v>0</v>
      </c>
      <c r="O23" s="455">
        <f t="shared" si="3"/>
        <v>0</v>
      </c>
      <c r="P23" s="455">
        <f t="shared" si="4"/>
        <v>0</v>
      </c>
      <c r="Q23" s="455"/>
      <c r="R23" s="455" t="b">
        <f>ISERROR(VLOOKUP(I23,Stammdaten!A45:A47,1,))</f>
        <v>1</v>
      </c>
      <c r="S23" s="455">
        <f t="shared" si="5"/>
        <v>0</v>
      </c>
      <c r="T23" s="863">
        <f t="shared" si="6"/>
        <v>100</v>
      </c>
      <c r="U23" s="455"/>
    </row>
    <row r="24" spans="1:21" s="660" customFormat="1" x14ac:dyDescent="0.25">
      <c r="A24" s="853">
        <v>17</v>
      </c>
      <c r="B24" s="854" t="s">
        <v>1091</v>
      </c>
      <c r="C24" s="866">
        <f>'add on data access locations'!B20</f>
        <v>0</v>
      </c>
      <c r="D24" s="866">
        <f>'add on data access locations'!C20</f>
        <v>0</v>
      </c>
      <c r="E24" s="866">
        <f>'add on data access locations'!D20</f>
        <v>0</v>
      </c>
      <c r="F24" s="866">
        <f>'add on data access locations'!E20</f>
        <v>0</v>
      </c>
      <c r="G24" s="865">
        <f>'add on data access locations'!F20</f>
        <v>0</v>
      </c>
      <c r="H24" s="867">
        <f>'add on data access locations'!G20</f>
        <v>0</v>
      </c>
      <c r="I24" s="868"/>
      <c r="J24" s="859"/>
      <c r="K24" s="859"/>
      <c r="L24" s="859"/>
      <c r="M24" s="861" t="str">
        <f t="shared" si="2"/>
        <v/>
      </c>
      <c r="N24" s="862">
        <f>IF('add on data access locations'!B20="",0,1)</f>
        <v>0</v>
      </c>
      <c r="O24" s="455">
        <f t="shared" si="3"/>
        <v>0</v>
      </c>
      <c r="P24" s="455">
        <f t="shared" si="4"/>
        <v>0</v>
      </c>
      <c r="Q24" s="455"/>
      <c r="R24" s="455" t="b">
        <f>ISERROR(VLOOKUP(I24,Stammdaten!A45:A47,1,))</f>
        <v>1</v>
      </c>
      <c r="S24" s="455">
        <f t="shared" si="5"/>
        <v>0</v>
      </c>
      <c r="T24" s="863">
        <f t="shared" si="6"/>
        <v>100</v>
      </c>
      <c r="U24" s="455"/>
    </row>
    <row r="25" spans="1:21" s="660" customFormat="1" x14ac:dyDescent="0.25">
      <c r="A25" s="853">
        <v>18</v>
      </c>
      <c r="B25" s="854" t="s">
        <v>1091</v>
      </c>
      <c r="C25" s="866">
        <f>'add on data access locations'!B21</f>
        <v>0</v>
      </c>
      <c r="D25" s="866">
        <f>'add on data access locations'!C21</f>
        <v>0</v>
      </c>
      <c r="E25" s="866">
        <f>'add on data access locations'!D21</f>
        <v>0</v>
      </c>
      <c r="F25" s="866">
        <f>'add on data access locations'!E21</f>
        <v>0</v>
      </c>
      <c r="G25" s="865">
        <f>'add on data access locations'!F21</f>
        <v>0</v>
      </c>
      <c r="H25" s="867">
        <f>'add on data access locations'!G21</f>
        <v>0</v>
      </c>
      <c r="I25" s="868"/>
      <c r="J25" s="859"/>
      <c r="K25" s="859"/>
      <c r="L25" s="859"/>
      <c r="M25" s="861" t="str">
        <f t="shared" si="2"/>
        <v/>
      </c>
      <c r="N25" s="862">
        <f>IF('add on data access locations'!B21="",0,1)</f>
        <v>0</v>
      </c>
      <c r="O25" s="455">
        <f t="shared" si="3"/>
        <v>0</v>
      </c>
      <c r="P25" s="455">
        <f t="shared" si="4"/>
        <v>0</v>
      </c>
      <c r="Q25" s="455"/>
      <c r="R25" s="455" t="b">
        <f>ISERROR(VLOOKUP(I25,Stammdaten!A45:A47,1,))</f>
        <v>1</v>
      </c>
      <c r="S25" s="455">
        <f t="shared" si="5"/>
        <v>0</v>
      </c>
      <c r="T25" s="863">
        <f t="shared" si="6"/>
        <v>100</v>
      </c>
      <c r="U25" s="455"/>
    </row>
    <row r="26" spans="1:21" s="660" customFormat="1" x14ac:dyDescent="0.25">
      <c r="A26" s="853">
        <v>19</v>
      </c>
      <c r="B26" s="854" t="s">
        <v>1091</v>
      </c>
      <c r="C26" s="866">
        <f>'add on data access locations'!B22</f>
        <v>0</v>
      </c>
      <c r="D26" s="866">
        <f>'add on data access locations'!C22</f>
        <v>0</v>
      </c>
      <c r="E26" s="866">
        <f>'add on data access locations'!D22</f>
        <v>0</v>
      </c>
      <c r="F26" s="866">
        <f>'add on data access locations'!E22</f>
        <v>0</v>
      </c>
      <c r="G26" s="865">
        <f>'add on data access locations'!F22</f>
        <v>0</v>
      </c>
      <c r="H26" s="867">
        <f>'add on data access locations'!G22</f>
        <v>0</v>
      </c>
      <c r="I26" s="877"/>
      <c r="J26" s="859"/>
      <c r="K26" s="859"/>
      <c r="L26" s="878"/>
      <c r="M26" s="861" t="str">
        <f t="shared" si="2"/>
        <v/>
      </c>
      <c r="N26" s="862">
        <f>IF('add on data access locations'!B22="",0,1)</f>
        <v>0</v>
      </c>
      <c r="O26" s="455">
        <f t="shared" si="3"/>
        <v>0</v>
      </c>
      <c r="P26" s="455">
        <f t="shared" si="4"/>
        <v>0</v>
      </c>
      <c r="Q26" s="455"/>
      <c r="R26" s="455" t="b">
        <f>ISERROR(VLOOKUP(I26,Stammdaten!A45:A47,1,))</f>
        <v>1</v>
      </c>
      <c r="S26" s="455">
        <f t="shared" si="5"/>
        <v>0</v>
      </c>
      <c r="T26" s="863">
        <f t="shared" si="6"/>
        <v>100</v>
      </c>
      <c r="U26" s="455"/>
    </row>
    <row r="27" spans="1:21" x14ac:dyDescent="0.25">
      <c r="A27" s="853">
        <v>20</v>
      </c>
      <c r="B27" s="854" t="s">
        <v>1091</v>
      </c>
      <c r="C27" s="866">
        <f>'add on data access locations'!B23</f>
        <v>0</v>
      </c>
      <c r="D27" s="866">
        <f>'add on data access locations'!C23</f>
        <v>0</v>
      </c>
      <c r="E27" s="866">
        <f>'add on data access locations'!D23</f>
        <v>0</v>
      </c>
      <c r="F27" s="866">
        <f>'add on data access locations'!E23</f>
        <v>0</v>
      </c>
      <c r="G27" s="865">
        <f>'add on data access locations'!F23</f>
        <v>0</v>
      </c>
      <c r="H27" s="867">
        <f>'add on data access locations'!G23</f>
        <v>0</v>
      </c>
      <c r="I27" s="877"/>
      <c r="J27" s="859"/>
      <c r="K27" s="859"/>
      <c r="L27" s="878"/>
      <c r="M27" s="861" t="str">
        <f t="shared" ref="M27:M29" si="7">IF(N27=0,"",IF(O27=0,"missing label information",IF(P27=1,"missing validity information","")))</f>
        <v/>
      </c>
      <c r="N27" s="862">
        <f>IF('add on data access locations'!B23="",0,1)</f>
        <v>0</v>
      </c>
      <c r="O27" s="455">
        <f t="shared" ref="O27:O29" si="8">IF(I27="",0,1)</f>
        <v>0</v>
      </c>
      <c r="P27" s="455">
        <f t="shared" ref="P27:P29" si="9">IF(R27=TRUE,0,1)</f>
        <v>0</v>
      </c>
      <c r="Q27" s="455"/>
      <c r="R27" s="455" t="b">
        <f>ISERROR(VLOOKUP(I27,Stammdaten!A46:A48,1,))</f>
        <v>1</v>
      </c>
      <c r="S27" s="455">
        <f t="shared" ref="S27:S29" si="10">IF(J27="",0,1)</f>
        <v>0</v>
      </c>
    </row>
    <row r="28" spans="1:21" x14ac:dyDescent="0.25">
      <c r="A28" s="853">
        <v>21</v>
      </c>
      <c r="B28" s="854" t="s">
        <v>1091</v>
      </c>
      <c r="C28" s="866">
        <f>'add on data access locations'!B24</f>
        <v>0</v>
      </c>
      <c r="D28" s="866">
        <f>'add on data access locations'!C24</f>
        <v>0</v>
      </c>
      <c r="E28" s="866">
        <f>'add on data access locations'!D24</f>
        <v>0</v>
      </c>
      <c r="F28" s="866">
        <f>'add on data access locations'!E24</f>
        <v>0</v>
      </c>
      <c r="G28" s="865">
        <f>'add on data access locations'!F24</f>
        <v>0</v>
      </c>
      <c r="H28" s="867">
        <f>'add on data access locations'!G24</f>
        <v>0</v>
      </c>
      <c r="I28" s="877"/>
      <c r="J28" s="859"/>
      <c r="K28" s="859"/>
      <c r="L28" s="878"/>
      <c r="M28" s="861" t="str">
        <f t="shared" si="7"/>
        <v/>
      </c>
      <c r="N28" s="862">
        <f>IF('add on data access locations'!B24="",0,1)</f>
        <v>0</v>
      </c>
      <c r="O28" s="455">
        <f t="shared" si="8"/>
        <v>0</v>
      </c>
      <c r="P28" s="455">
        <f t="shared" si="9"/>
        <v>0</v>
      </c>
      <c r="Q28" s="455"/>
      <c r="R28" s="455" t="b">
        <f>ISERROR(VLOOKUP(I28,Stammdaten!A47:A49,1,))</f>
        <v>1</v>
      </c>
      <c r="S28" s="455">
        <f t="shared" si="10"/>
        <v>0</v>
      </c>
    </row>
    <row r="29" spans="1:21" x14ac:dyDescent="0.25">
      <c r="A29" s="853">
        <v>22</v>
      </c>
      <c r="B29" s="854" t="s">
        <v>1091</v>
      </c>
      <c r="C29" s="866">
        <f>'add on data access locations'!B25</f>
        <v>0</v>
      </c>
      <c r="D29" s="866">
        <f>'add on data access locations'!C25</f>
        <v>0</v>
      </c>
      <c r="E29" s="866">
        <f>'add on data access locations'!D25</f>
        <v>0</v>
      </c>
      <c r="F29" s="866">
        <f>'add on data access locations'!E25</f>
        <v>0</v>
      </c>
      <c r="G29" s="865">
        <f>'add on data access locations'!F25</f>
        <v>0</v>
      </c>
      <c r="H29" s="867">
        <f>'add on data access locations'!G25</f>
        <v>0</v>
      </c>
      <c r="I29" s="877"/>
      <c r="J29" s="859"/>
      <c r="K29" s="859"/>
      <c r="L29" s="878"/>
      <c r="M29" s="861" t="str">
        <f t="shared" si="7"/>
        <v/>
      </c>
      <c r="N29" s="862">
        <f>IF('add on data access locations'!B25="",0,1)</f>
        <v>0</v>
      </c>
      <c r="O29" s="455">
        <f t="shared" si="8"/>
        <v>0</v>
      </c>
      <c r="P29" s="455">
        <f t="shared" si="9"/>
        <v>0</v>
      </c>
      <c r="Q29" s="455"/>
      <c r="R29" s="455" t="b">
        <f>ISERROR(VLOOKUP(I29,Stammdaten!A48:A50,1,))</f>
        <v>1</v>
      </c>
      <c r="S29" s="455">
        <f t="shared" si="10"/>
        <v>0</v>
      </c>
    </row>
    <row r="33" spans="1:21" ht="57" customHeight="1" x14ac:dyDescent="0.25">
      <c r="A33" s="380"/>
    </row>
    <row r="34" spans="1:21" ht="96.75" customHeight="1" x14ac:dyDescent="0.25">
      <c r="A34" s="380"/>
      <c r="B34" s="879"/>
      <c r="C34" s="1036"/>
      <c r="D34" s="1036"/>
      <c r="E34" s="1036"/>
      <c r="F34" s="1036"/>
      <c r="G34" s="1036"/>
      <c r="H34" s="1036"/>
      <c r="I34" s="1036"/>
      <c r="J34" s="1036"/>
      <c r="K34" s="836"/>
      <c r="L34" s="836"/>
    </row>
    <row r="35" spans="1:21" x14ac:dyDescent="0.25">
      <c r="A35" s="380"/>
      <c r="B35" s="879"/>
    </row>
    <row r="36" spans="1:21" ht="48" customHeight="1" x14ac:dyDescent="0.25">
      <c r="A36" s="380"/>
      <c r="B36" s="879"/>
      <c r="C36" s="1036"/>
      <c r="D36" s="1036"/>
      <c r="E36" s="1036"/>
      <c r="F36" s="1036"/>
      <c r="G36" s="1036"/>
      <c r="H36" s="1036"/>
      <c r="I36" s="1036"/>
      <c r="J36" s="1036"/>
    </row>
    <row r="37" spans="1:21" x14ac:dyDescent="0.25">
      <c r="A37" s="380"/>
      <c r="B37" s="879"/>
    </row>
    <row r="38" spans="1:21" x14ac:dyDescent="0.25">
      <c r="A38" s="380"/>
      <c r="B38" s="879"/>
      <c r="C38" s="1036"/>
      <c r="D38" s="1037"/>
      <c r="E38" s="1037"/>
      <c r="F38" s="1037"/>
      <c r="G38" s="1037"/>
      <c r="H38" s="1037"/>
      <c r="I38" s="1037"/>
      <c r="J38" s="1037"/>
    </row>
    <row r="39" spans="1:21" s="880" customFormat="1" x14ac:dyDescent="0.25">
      <c r="B39" s="879"/>
      <c r="E39" s="881"/>
      <c r="I39" s="882"/>
      <c r="J39" s="883"/>
      <c r="K39" s="883"/>
      <c r="L39" s="883"/>
      <c r="M39" s="883"/>
      <c r="N39" s="883"/>
      <c r="O39" s="883"/>
      <c r="P39" s="883"/>
      <c r="Q39" s="883"/>
      <c r="R39" s="883"/>
      <c r="S39" s="883"/>
      <c r="T39" s="883"/>
      <c r="U39" s="883"/>
    </row>
    <row r="40" spans="1:21" s="880" customFormat="1" x14ac:dyDescent="0.25">
      <c r="B40" s="879"/>
      <c r="E40" s="881"/>
      <c r="I40" s="882"/>
      <c r="J40" s="883"/>
      <c r="K40" s="883"/>
      <c r="L40" s="883"/>
      <c r="M40" s="883"/>
      <c r="N40" s="883"/>
      <c r="O40" s="883"/>
      <c r="P40" s="883"/>
      <c r="Q40" s="883"/>
      <c r="R40" s="883"/>
      <c r="S40" s="883"/>
      <c r="T40" s="883"/>
      <c r="U40" s="883"/>
    </row>
    <row r="41" spans="1:21" x14ac:dyDescent="0.25">
      <c r="A41" s="380"/>
      <c r="B41" s="380"/>
    </row>
    <row r="42" spans="1:21" x14ac:dyDescent="0.25">
      <c r="A42" s="380"/>
      <c r="B42" s="380"/>
    </row>
    <row r="43" spans="1:21" x14ac:dyDescent="0.25">
      <c r="A43" s="380"/>
      <c r="B43" s="380"/>
    </row>
    <row r="44" spans="1:21" x14ac:dyDescent="0.25">
      <c r="A44" s="380"/>
      <c r="B44" s="380"/>
    </row>
    <row r="45" spans="1:21" x14ac:dyDescent="0.25">
      <c r="A45" s="380"/>
      <c r="B45" s="380"/>
    </row>
    <row r="54" spans="1:8" x14ac:dyDescent="0.25">
      <c r="A54" s="380"/>
    </row>
    <row r="61" spans="1:8" x14ac:dyDescent="0.25">
      <c r="A61" s="380"/>
      <c r="B61" s="836"/>
      <c r="C61" s="836"/>
      <c r="G61" s="838"/>
      <c r="H61" s="838"/>
    </row>
    <row r="62" spans="1:8" x14ac:dyDescent="0.25">
      <c r="A62" s="380"/>
      <c r="B62" s="836"/>
      <c r="C62" s="838"/>
    </row>
    <row r="64" spans="1:8" x14ac:dyDescent="0.25">
      <c r="A64" s="380"/>
      <c r="B64" s="884"/>
    </row>
    <row r="65" spans="2:21" s="380" customFormat="1" x14ac:dyDescent="0.25">
      <c r="B65" s="836"/>
      <c r="C65" s="836"/>
      <c r="D65" s="837"/>
      <c r="E65" s="836"/>
      <c r="I65" s="838"/>
      <c r="J65" s="378"/>
      <c r="K65" s="378"/>
      <c r="L65" s="378"/>
      <c r="M65" s="378"/>
      <c r="N65" s="378"/>
      <c r="O65" s="378"/>
      <c r="P65" s="378"/>
      <c r="Q65" s="378"/>
      <c r="R65" s="378"/>
      <c r="S65" s="378"/>
      <c r="T65" s="378"/>
      <c r="U65" s="378"/>
    </row>
  </sheetData>
  <sheetProtection algorithmName="SHA-512" hashValue="YOfcPduhGHH2KZuNvldwM4anVPCymDNoA5Pbs7iTOvlb2SUNuF+V/istFTubHNtoKx3guPfn4t6uRTBt+HNpFA==" saltValue="fPzZGF3Wkp79ndrrRY/0bA==" spinCount="100000" sheet="1" objects="1" scenarios="1"/>
  <mergeCells count="8">
    <mergeCell ref="C38:J38"/>
    <mergeCell ref="A4:B4"/>
    <mergeCell ref="B2:E2"/>
    <mergeCell ref="F2:J2"/>
    <mergeCell ref="K2:M2"/>
    <mergeCell ref="C34:J34"/>
    <mergeCell ref="C36:J36"/>
    <mergeCell ref="D5:G5"/>
  </mergeCells>
  <conditionalFormatting sqref="A2 F2">
    <cfRule type="expression" dxfId="245" priority="128">
      <formula>$C$2="Tabellenblatt GESPERRT /  Voraussetzung für Öffnung-&gt; weitere Standorte mit Datenzugriff= JA"</formula>
    </cfRule>
  </conditionalFormatting>
  <conditionalFormatting sqref="B2">
    <cfRule type="expression" dxfId="244" priority="127">
      <formula>$E$2="OK, nächster Schritt"</formula>
    </cfRule>
  </conditionalFormatting>
  <conditionalFormatting sqref="M6:M29">
    <cfRule type="cellIs" dxfId="243" priority="104" operator="equal">
      <formula>"missing validity information"</formula>
    </cfRule>
    <cfRule type="cellIs" dxfId="242" priority="105" operator="equal">
      <formula>"missing label information"</formula>
    </cfRule>
    <cfRule type="cellIs" dxfId="241" priority="107" operator="equal">
      <formula>"Datum veraltet"</formula>
    </cfRule>
  </conditionalFormatting>
  <conditionalFormatting sqref="M6">
    <cfRule type="cellIs" dxfId="240" priority="106" operator="equal">
      <formula>"no location information"</formula>
    </cfRule>
  </conditionalFormatting>
  <conditionalFormatting sqref="J6">
    <cfRule type="notContainsBlanks" dxfId="239" priority="83">
      <formula>LEN(TRIM(J6))&gt;0</formula>
    </cfRule>
    <cfRule type="expression" dxfId="238" priority="103">
      <formula>$P6=1</formula>
    </cfRule>
  </conditionalFormatting>
  <conditionalFormatting sqref="J7">
    <cfRule type="expression" dxfId="237" priority="102">
      <formula>$P7=1</formula>
    </cfRule>
  </conditionalFormatting>
  <conditionalFormatting sqref="J8">
    <cfRule type="expression" dxfId="236" priority="125">
      <formula>$P8=1</formula>
    </cfRule>
  </conditionalFormatting>
  <conditionalFormatting sqref="J10">
    <cfRule type="expression" dxfId="235" priority="100">
      <formula>$P10=1</formula>
    </cfRule>
  </conditionalFormatting>
  <conditionalFormatting sqref="J11">
    <cfRule type="expression" dxfId="234" priority="99">
      <formula>$P11=1</formula>
    </cfRule>
  </conditionalFormatting>
  <conditionalFormatting sqref="J12">
    <cfRule type="expression" dxfId="233" priority="98">
      <formula>$P12=1</formula>
    </cfRule>
  </conditionalFormatting>
  <conditionalFormatting sqref="J13">
    <cfRule type="expression" dxfId="232" priority="97">
      <formula>$P13=1</formula>
    </cfRule>
  </conditionalFormatting>
  <conditionalFormatting sqref="J14">
    <cfRule type="expression" dxfId="231" priority="96">
      <formula>$P14=1</formula>
    </cfRule>
  </conditionalFormatting>
  <conditionalFormatting sqref="J15">
    <cfRule type="expression" dxfId="230" priority="95">
      <formula>$P15=1</formula>
    </cfRule>
  </conditionalFormatting>
  <conditionalFormatting sqref="J16">
    <cfRule type="expression" dxfId="229" priority="94">
      <formula>$P16=1</formula>
    </cfRule>
  </conditionalFormatting>
  <conditionalFormatting sqref="J17">
    <cfRule type="expression" dxfId="228" priority="93">
      <formula>$P17=1</formula>
    </cfRule>
  </conditionalFormatting>
  <conditionalFormatting sqref="J18">
    <cfRule type="expression" dxfId="227" priority="92">
      <formula>$P18=1</formula>
    </cfRule>
  </conditionalFormatting>
  <conditionalFormatting sqref="J19">
    <cfRule type="expression" dxfId="226" priority="91">
      <formula>$P19=1</formula>
    </cfRule>
  </conditionalFormatting>
  <conditionalFormatting sqref="J20">
    <cfRule type="expression" dxfId="225" priority="90">
      <formula>$P20=1</formula>
    </cfRule>
  </conditionalFormatting>
  <conditionalFormatting sqref="J21">
    <cfRule type="expression" dxfId="224" priority="89">
      <formula>$P21=1</formula>
    </cfRule>
  </conditionalFormatting>
  <conditionalFormatting sqref="J22">
    <cfRule type="expression" dxfId="223" priority="88">
      <formula>$P22=1</formula>
    </cfRule>
  </conditionalFormatting>
  <conditionalFormatting sqref="J23">
    <cfRule type="expression" dxfId="222" priority="87">
      <formula>$P23=1</formula>
    </cfRule>
  </conditionalFormatting>
  <conditionalFormatting sqref="J24">
    <cfRule type="expression" dxfId="221" priority="86">
      <formula>$P24=1</formula>
    </cfRule>
  </conditionalFormatting>
  <conditionalFormatting sqref="J25">
    <cfRule type="expression" dxfId="220" priority="85">
      <formula>$P25=1</formula>
    </cfRule>
  </conditionalFormatting>
  <conditionalFormatting sqref="J26:J29">
    <cfRule type="expression" dxfId="219" priority="84">
      <formula>$P26=1</formula>
    </cfRule>
  </conditionalFormatting>
  <conditionalFormatting sqref="J7">
    <cfRule type="notContainsBlanks" dxfId="218" priority="81">
      <formula>LEN(TRIM(J7))&gt;0</formula>
    </cfRule>
    <cfRule type="expression" dxfId="217" priority="82">
      <formula>$P7=1</formula>
    </cfRule>
  </conditionalFormatting>
  <conditionalFormatting sqref="J8">
    <cfRule type="notContainsBlanks" dxfId="216" priority="80">
      <formula>LEN(TRIM(J8))&gt;0</formula>
    </cfRule>
    <cfRule type="expression" dxfId="215" priority="101">
      <formula>$P8=1</formula>
    </cfRule>
  </conditionalFormatting>
  <conditionalFormatting sqref="J10">
    <cfRule type="notContainsBlanks" dxfId="214" priority="77">
      <formula>LEN(TRIM(J10))&gt;0</formula>
    </cfRule>
    <cfRule type="expression" dxfId="213" priority="78">
      <formula>$P10=1</formula>
    </cfRule>
  </conditionalFormatting>
  <conditionalFormatting sqref="J11">
    <cfRule type="notContainsBlanks" dxfId="212" priority="75">
      <formula>LEN(TRIM(J11))&gt;0</formula>
    </cfRule>
    <cfRule type="expression" dxfId="211" priority="76">
      <formula>$P11=1</formula>
    </cfRule>
  </conditionalFormatting>
  <conditionalFormatting sqref="J12">
    <cfRule type="notContainsBlanks" dxfId="210" priority="73">
      <formula>LEN(TRIM(J12))&gt;0</formula>
    </cfRule>
    <cfRule type="expression" dxfId="209" priority="74">
      <formula>$P12=1</formula>
    </cfRule>
  </conditionalFormatting>
  <conditionalFormatting sqref="J13">
    <cfRule type="notContainsBlanks" dxfId="208" priority="71">
      <formula>LEN(TRIM(J13))&gt;0</formula>
    </cfRule>
    <cfRule type="expression" dxfId="207" priority="72">
      <formula>$P13=1</formula>
    </cfRule>
  </conditionalFormatting>
  <conditionalFormatting sqref="J14">
    <cfRule type="notContainsBlanks" dxfId="206" priority="69">
      <formula>LEN(TRIM(J14))&gt;0</formula>
    </cfRule>
    <cfRule type="expression" dxfId="205" priority="70">
      <formula>$P14=1</formula>
    </cfRule>
  </conditionalFormatting>
  <conditionalFormatting sqref="J15">
    <cfRule type="notContainsBlanks" dxfId="204" priority="67">
      <formula>LEN(TRIM(J15))&gt;0</formula>
    </cfRule>
    <cfRule type="expression" dxfId="203" priority="68">
      <formula>$P15=1</formula>
    </cfRule>
  </conditionalFormatting>
  <conditionalFormatting sqref="J16">
    <cfRule type="notContainsBlanks" dxfId="202" priority="65">
      <formula>LEN(TRIM(J16))&gt;0</formula>
    </cfRule>
    <cfRule type="expression" dxfId="201" priority="66">
      <formula>$P16=1</formula>
    </cfRule>
  </conditionalFormatting>
  <conditionalFormatting sqref="J17">
    <cfRule type="notContainsBlanks" dxfId="200" priority="63">
      <formula>LEN(TRIM(J17))&gt;0</formula>
    </cfRule>
    <cfRule type="expression" dxfId="199" priority="64">
      <formula>$P17=1</formula>
    </cfRule>
  </conditionalFormatting>
  <conditionalFormatting sqref="J18">
    <cfRule type="notContainsBlanks" dxfId="198" priority="61">
      <formula>LEN(TRIM(J18))&gt;0</formula>
    </cfRule>
    <cfRule type="expression" dxfId="197" priority="62">
      <formula>$P18=1</formula>
    </cfRule>
  </conditionalFormatting>
  <conditionalFormatting sqref="J19">
    <cfRule type="notContainsBlanks" dxfId="196" priority="59">
      <formula>LEN(TRIM(J19))&gt;0</formula>
    </cfRule>
    <cfRule type="expression" dxfId="195" priority="60">
      <formula>$P19=1</formula>
    </cfRule>
  </conditionalFormatting>
  <conditionalFormatting sqref="J20">
    <cfRule type="notContainsBlanks" dxfId="194" priority="57">
      <formula>LEN(TRIM(J20))&gt;0</formula>
    </cfRule>
    <cfRule type="expression" dxfId="193" priority="58">
      <formula>$P20=1</formula>
    </cfRule>
  </conditionalFormatting>
  <conditionalFormatting sqref="J21">
    <cfRule type="notContainsBlanks" dxfId="192" priority="55">
      <formula>LEN(TRIM(J21))&gt;0</formula>
    </cfRule>
    <cfRule type="expression" dxfId="191" priority="56">
      <formula>$P21=1</formula>
    </cfRule>
  </conditionalFormatting>
  <conditionalFormatting sqref="J22">
    <cfRule type="notContainsBlanks" dxfId="190" priority="53">
      <formula>LEN(TRIM(J22))&gt;0</formula>
    </cfRule>
    <cfRule type="expression" dxfId="189" priority="54">
      <formula>$P22=1</formula>
    </cfRule>
  </conditionalFormatting>
  <conditionalFormatting sqref="J23">
    <cfRule type="notContainsBlanks" dxfId="188" priority="51">
      <formula>LEN(TRIM(J23))&gt;0</formula>
    </cfRule>
    <cfRule type="expression" dxfId="187" priority="52">
      <formula>$P23=1</formula>
    </cfRule>
  </conditionalFormatting>
  <conditionalFormatting sqref="J24">
    <cfRule type="notContainsBlanks" dxfId="186" priority="49">
      <formula>LEN(TRIM(J24))&gt;0</formula>
    </cfRule>
    <cfRule type="expression" dxfId="185" priority="50">
      <formula>$P24=1</formula>
    </cfRule>
  </conditionalFormatting>
  <conditionalFormatting sqref="J25">
    <cfRule type="notContainsBlanks" dxfId="184" priority="47">
      <formula>LEN(TRIM(J25))&gt;0</formula>
    </cfRule>
    <cfRule type="expression" dxfId="183" priority="48">
      <formula>$P25=1</formula>
    </cfRule>
  </conditionalFormatting>
  <conditionalFormatting sqref="J26:J29">
    <cfRule type="notContainsBlanks" dxfId="182" priority="45">
      <formula>LEN(TRIM(J26))&gt;0</formula>
    </cfRule>
    <cfRule type="expression" dxfId="181" priority="46">
      <formula>$P26=1</formula>
    </cfRule>
  </conditionalFormatting>
  <conditionalFormatting sqref="M8">
    <cfRule type="expression" dxfId="180" priority="22">
      <formula>$T8=1</formula>
    </cfRule>
  </conditionalFormatting>
  <conditionalFormatting sqref="M7">
    <cfRule type="expression" dxfId="179" priority="43">
      <formula>$T7=1</formula>
    </cfRule>
  </conditionalFormatting>
  <conditionalFormatting sqref="M6">
    <cfRule type="expression" dxfId="178" priority="42">
      <formula>$T6=1</formula>
    </cfRule>
  </conditionalFormatting>
  <conditionalFormatting sqref="M10:M29">
    <cfRule type="expression" dxfId="177" priority="41">
      <formula>$T10=1</formula>
    </cfRule>
  </conditionalFormatting>
  <conditionalFormatting sqref="M11">
    <cfRule type="expression" dxfId="176" priority="40">
      <formula>$T11=1</formula>
    </cfRule>
  </conditionalFormatting>
  <conditionalFormatting sqref="M12">
    <cfRule type="expression" dxfId="175" priority="39">
      <formula>$T12=1</formula>
    </cfRule>
  </conditionalFormatting>
  <conditionalFormatting sqref="M13">
    <cfRule type="expression" dxfId="174" priority="38">
      <formula>$T13=1</formula>
    </cfRule>
  </conditionalFormatting>
  <conditionalFormatting sqref="M14">
    <cfRule type="expression" dxfId="173" priority="37">
      <formula>$T14=1</formula>
    </cfRule>
  </conditionalFormatting>
  <conditionalFormatting sqref="M15">
    <cfRule type="expression" dxfId="172" priority="36">
      <formula>$T15=1</formula>
    </cfRule>
  </conditionalFormatting>
  <conditionalFormatting sqref="M16">
    <cfRule type="expression" dxfId="171" priority="35">
      <formula>$T16=1</formula>
    </cfRule>
  </conditionalFormatting>
  <conditionalFormatting sqref="M17">
    <cfRule type="expression" dxfId="170" priority="34">
      <formula>$T17=1</formula>
    </cfRule>
  </conditionalFormatting>
  <conditionalFormatting sqref="M18">
    <cfRule type="expression" dxfId="169" priority="33">
      <formula>$T18=1</formula>
    </cfRule>
  </conditionalFormatting>
  <conditionalFormatting sqref="M19">
    <cfRule type="expression" dxfId="168" priority="32">
      <formula>$T19=1</formula>
    </cfRule>
  </conditionalFormatting>
  <conditionalFormatting sqref="M20">
    <cfRule type="expression" dxfId="167" priority="31">
      <formula>$T20=1</formula>
    </cfRule>
  </conditionalFormatting>
  <conditionalFormatting sqref="M21">
    <cfRule type="expression" dxfId="166" priority="30">
      <formula>$T21=1</formula>
    </cfRule>
  </conditionalFormatting>
  <conditionalFormatting sqref="M22">
    <cfRule type="expression" dxfId="165" priority="29">
      <formula>$T22=1</formula>
    </cfRule>
  </conditionalFormatting>
  <conditionalFormatting sqref="M23">
    <cfRule type="expression" dxfId="164" priority="28">
      <formula>$T23=1</formula>
    </cfRule>
  </conditionalFormatting>
  <conditionalFormatting sqref="M24">
    <cfRule type="expression" dxfId="163" priority="27">
      <formula>$T24=1</formula>
    </cfRule>
  </conditionalFormatting>
  <conditionalFormatting sqref="M25">
    <cfRule type="expression" dxfId="162" priority="26">
      <formula>$T25=1</formula>
    </cfRule>
  </conditionalFormatting>
  <conditionalFormatting sqref="M26:M29">
    <cfRule type="expression" dxfId="161" priority="25">
      <formula>$T26=1</formula>
    </cfRule>
  </conditionalFormatting>
  <conditionalFormatting sqref="B12:I12 L12">
    <cfRule type="expression" dxfId="160" priority="122">
      <formula>$C$12=""</formula>
    </cfRule>
  </conditionalFormatting>
  <dataValidations count="1">
    <dataValidation type="whole" allowBlank="1" showInputMessage="1" showErrorMessage="1" sqref="H6:H29" xr:uid="{98F9FC70-8B51-4910-898C-6401EECD0CA8}">
      <formula1>0</formula1>
      <formula2>999999999</formula2>
    </dataValidation>
  </dataValidations>
  <pageMargins left="0.7" right="0.7" top="0.78740157499999996" bottom="0.78740157499999996"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26" id="{C6417D60-9884-45BA-B1F2-19561CA2946F}">
            <xm:f>'\\osfileserver.telekom.de\shares$\CSN\Arbeitsverzeichnis Dokumente\Freigabeversionen\CSN_CSN-AS\1_Deutsch\2_Infodokumente\Arbeitsstände\[CSN-Steckbrief_1.21a_DE.xlsx]Unternehmensdaten'!#REF!="nein"</xm:f>
            <x14:dxf>
              <font>
                <color theme="0"/>
              </font>
            </x14:dxf>
          </x14:cfRule>
          <xm:sqref>A7:I7 L7</xm:sqref>
        </x14:conditionalFormatting>
        <x14:conditionalFormatting xmlns:xm="http://schemas.microsoft.com/office/excel/2006/main">
          <x14:cfRule type="expression" priority="124" id="{E5670576-08E3-413C-98E2-A4DC3532DE26}">
            <xm:f>'\\osfileserver.telekom.de\shares$\CSN\Arbeitsverzeichnis Dokumente\Freigabeversionen\CSN_CSN-AS\1_Deutsch\2_Infodokumente\Arbeitsstände\[CSN-Steckbrief_1.21a_DE.xlsx]Unternehmensdaten'!#REF!&lt;&gt;"ja"</xm:f>
            <x14:dxf>
              <font>
                <color theme="0"/>
              </font>
            </x14:dxf>
          </x14:cfRule>
          <xm:sqref>B9</xm:sqref>
        </x14:conditionalFormatting>
        <x14:conditionalFormatting xmlns:xm="http://schemas.microsoft.com/office/excel/2006/main">
          <x14:cfRule type="expression" priority="123" id="{52041057-3E53-4FB2-89A1-44CC7FEB5B3B}">
            <xm:f>'add on data access locations'!$B$6=""</xm:f>
            <x14:dxf>
              <font>
                <color theme="0"/>
              </font>
            </x14:dxf>
          </x14:cfRule>
          <xm:sqref>A10:B10 L10 D10:I10</xm:sqref>
        </x14:conditionalFormatting>
        <x14:conditionalFormatting xmlns:xm="http://schemas.microsoft.com/office/excel/2006/main">
          <x14:cfRule type="expression" priority="121" id="{106D8C78-3CDC-44AF-8579-8689EAF1087C}">
            <xm:f>'add on data access locations'!$B$9=""</xm:f>
            <x14:dxf>
              <font>
                <color theme="0"/>
              </font>
            </x14:dxf>
          </x14:cfRule>
          <xm:sqref>A13:I13 L13</xm:sqref>
        </x14:conditionalFormatting>
        <x14:conditionalFormatting xmlns:xm="http://schemas.microsoft.com/office/excel/2006/main">
          <x14:cfRule type="expression" priority="120" id="{77595F11-D53A-4170-8314-5155B7DED03B}">
            <xm:f>'add on data access locations'!$B$10=""</xm:f>
            <x14:dxf>
              <font>
                <color theme="0"/>
              </font>
            </x14:dxf>
          </x14:cfRule>
          <xm:sqref>A14:I14 L14</xm:sqref>
        </x14:conditionalFormatting>
        <x14:conditionalFormatting xmlns:xm="http://schemas.microsoft.com/office/excel/2006/main">
          <x14:cfRule type="expression" priority="24" id="{5EFC388A-4061-4C25-B296-1F2812C8093A}">
            <xm:f>'\\osfileserver.telekom.de\shares$\CSN\Arbeitsverzeichnis Dokumente\Freigabeversionen\CSN_CSN-AS\1_Deutsch\2_Infodokumente\Arbeitsstände\[CSN-Steckbrief_1.21a_DE.xlsx]ZUSATZ_Standorte Datenzugriff'!#REF!=""</xm:f>
            <x14:dxf>
              <font>
                <color theme="0"/>
              </font>
            </x14:dxf>
          </x14:cfRule>
          <xm:sqref>C10</xm:sqref>
        </x14:conditionalFormatting>
        <x14:conditionalFormatting xmlns:xm="http://schemas.microsoft.com/office/excel/2006/main">
          <x14:cfRule type="expression" priority="23" id="{E0F47CB2-E4B5-4BB3-B9AE-A166B452F9D6}">
            <xm:f>'add on data access locations'!$B$7=""</xm:f>
            <x14:dxf>
              <font>
                <color theme="0"/>
              </font>
            </x14:dxf>
          </x14:cfRule>
          <xm:sqref>A11:L11</xm:sqref>
        </x14:conditionalFormatting>
        <x14:conditionalFormatting xmlns:xm="http://schemas.microsoft.com/office/excel/2006/main">
          <x14:cfRule type="expression" priority="16" id="{0530A78E-517C-4A8A-95CE-86C4B6955FF6}">
            <xm:f>'add on data access locations'!$B$9=""</xm:f>
            <x14:dxf>
              <font>
                <color theme="0"/>
              </font>
            </x14:dxf>
          </x14:cfRule>
          <xm:sqref>A12:L12</xm:sqref>
        </x14:conditionalFormatting>
        <x14:conditionalFormatting xmlns:xm="http://schemas.microsoft.com/office/excel/2006/main">
          <x14:cfRule type="expression" priority="15" id="{38610A6B-8E58-444D-B757-768963CD33A6}">
            <xm:f>'add on data access locations'!$B$11=""</xm:f>
            <x14:dxf>
              <font>
                <color theme="0"/>
              </font>
            </x14:dxf>
          </x14:cfRule>
          <xm:sqref>A15:L15</xm:sqref>
        </x14:conditionalFormatting>
        <x14:conditionalFormatting xmlns:xm="http://schemas.microsoft.com/office/excel/2006/main">
          <x14:cfRule type="expression" priority="14" id="{37C64192-30DF-4025-A404-FF31595AF859}">
            <xm:f>'add on data access locations'!$B$12=""</xm:f>
            <x14:dxf>
              <font>
                <color theme="0"/>
              </font>
            </x14:dxf>
          </x14:cfRule>
          <xm:sqref>A16:L16</xm:sqref>
        </x14:conditionalFormatting>
        <x14:conditionalFormatting xmlns:xm="http://schemas.microsoft.com/office/excel/2006/main">
          <x14:cfRule type="expression" priority="13" id="{2753A031-9182-4EA3-8259-BEAB1A69E283}">
            <xm:f>'add on data access locations'!$B$13=""</xm:f>
            <x14:dxf>
              <font>
                <color theme="0"/>
              </font>
            </x14:dxf>
          </x14:cfRule>
          <xm:sqref>A17:L17</xm:sqref>
        </x14:conditionalFormatting>
        <x14:conditionalFormatting xmlns:xm="http://schemas.microsoft.com/office/excel/2006/main">
          <x14:cfRule type="expression" priority="12" id="{E608183C-8B1D-45F7-BC5B-E4BA47909635}">
            <xm:f>'add on data access locations'!$B$14=""</xm:f>
            <x14:dxf>
              <font>
                <color theme="0"/>
              </font>
            </x14:dxf>
          </x14:cfRule>
          <xm:sqref>A18:L18</xm:sqref>
        </x14:conditionalFormatting>
        <x14:conditionalFormatting xmlns:xm="http://schemas.microsoft.com/office/excel/2006/main">
          <x14:cfRule type="expression" priority="11" id="{789E3831-9C49-43AF-8001-1924F7FEAA41}">
            <xm:f>'add on data access locations'!$B$15=""</xm:f>
            <x14:dxf>
              <font>
                <color theme="0"/>
              </font>
            </x14:dxf>
          </x14:cfRule>
          <xm:sqref>A19:L19</xm:sqref>
        </x14:conditionalFormatting>
        <x14:conditionalFormatting xmlns:xm="http://schemas.microsoft.com/office/excel/2006/main">
          <x14:cfRule type="expression" priority="10" id="{8D83E831-74C7-4797-95A9-4599943EE36B}">
            <xm:f>'add on data access locations'!$B$16=""</xm:f>
            <x14:dxf>
              <font>
                <color theme="0"/>
              </font>
            </x14:dxf>
          </x14:cfRule>
          <xm:sqref>A20:L20</xm:sqref>
        </x14:conditionalFormatting>
        <x14:conditionalFormatting xmlns:xm="http://schemas.microsoft.com/office/excel/2006/main">
          <x14:cfRule type="expression" priority="9" id="{18D38AD1-A571-4C5B-8804-CA38E9F9ED67}">
            <xm:f>'add on data access locations'!$B$17=""</xm:f>
            <x14:dxf>
              <font>
                <color theme="0"/>
              </font>
            </x14:dxf>
          </x14:cfRule>
          <xm:sqref>A21:L21</xm:sqref>
        </x14:conditionalFormatting>
        <x14:conditionalFormatting xmlns:xm="http://schemas.microsoft.com/office/excel/2006/main">
          <x14:cfRule type="expression" priority="8" id="{324AE96B-A229-421E-8C7B-A0DBF8F808DE}">
            <xm:f>'add on data access locations'!$B$18=""</xm:f>
            <x14:dxf>
              <font>
                <color theme="0"/>
              </font>
            </x14:dxf>
          </x14:cfRule>
          <xm:sqref>A22:L22</xm:sqref>
        </x14:conditionalFormatting>
        <x14:conditionalFormatting xmlns:xm="http://schemas.microsoft.com/office/excel/2006/main">
          <x14:cfRule type="expression" priority="7" id="{A7EFB10D-A434-4BCF-B2BB-299DE99F17EF}">
            <xm:f>'add on data access locations'!$B$19=""</xm:f>
            <x14:dxf>
              <font>
                <color theme="0"/>
              </font>
            </x14:dxf>
          </x14:cfRule>
          <xm:sqref>A23:L23</xm:sqref>
        </x14:conditionalFormatting>
        <x14:conditionalFormatting xmlns:xm="http://schemas.microsoft.com/office/excel/2006/main">
          <x14:cfRule type="expression" priority="6" id="{CDC396A5-4CFC-4B86-8DE6-281680CB1CAD}">
            <xm:f>'add on data access locations'!$B$20=""</xm:f>
            <x14:dxf>
              <font>
                <color theme="0"/>
              </font>
            </x14:dxf>
          </x14:cfRule>
          <xm:sqref>A24:L24</xm:sqref>
        </x14:conditionalFormatting>
        <x14:conditionalFormatting xmlns:xm="http://schemas.microsoft.com/office/excel/2006/main">
          <x14:cfRule type="expression" priority="5" id="{2AE91DEE-7BC1-4CAE-AA71-71644A9AD2F3}">
            <xm:f>'add on data access locations'!$B$21=""</xm:f>
            <x14:dxf>
              <font>
                <color theme="0"/>
              </font>
            </x14:dxf>
          </x14:cfRule>
          <xm:sqref>A25:L25</xm:sqref>
        </x14:conditionalFormatting>
        <x14:conditionalFormatting xmlns:xm="http://schemas.microsoft.com/office/excel/2006/main">
          <x14:cfRule type="expression" priority="4" id="{16EDAA2F-7D11-49D5-86BE-3D7133552F7E}">
            <xm:f>'add on data access locations'!$B$22=""</xm:f>
            <x14:dxf>
              <font>
                <color theme="0"/>
              </font>
            </x14:dxf>
          </x14:cfRule>
          <xm:sqref>A26:L26</xm:sqref>
        </x14:conditionalFormatting>
        <x14:conditionalFormatting xmlns:xm="http://schemas.microsoft.com/office/excel/2006/main">
          <x14:cfRule type="expression" priority="3" id="{62CB48F1-D56C-441F-BEE0-281CB8CF52FF}">
            <xm:f>'add on data access locations'!$B$23=""</xm:f>
            <x14:dxf>
              <font>
                <color theme="0"/>
              </font>
            </x14:dxf>
          </x14:cfRule>
          <xm:sqref>A27:L27</xm:sqref>
        </x14:conditionalFormatting>
        <x14:conditionalFormatting xmlns:xm="http://schemas.microsoft.com/office/excel/2006/main">
          <x14:cfRule type="expression" priority="2" id="{D70ADBBD-919E-4A20-AE32-7AE0A2C669E7}">
            <xm:f>'add on data access locations'!$B$24=""</xm:f>
            <x14:dxf>
              <font>
                <color theme="0"/>
              </font>
            </x14:dxf>
          </x14:cfRule>
          <xm:sqref>A28:L28</xm:sqref>
        </x14:conditionalFormatting>
        <x14:conditionalFormatting xmlns:xm="http://schemas.microsoft.com/office/excel/2006/main">
          <x14:cfRule type="expression" priority="1" id="{5B78F1F2-8C57-4E13-8FE1-74E68CF1956F}">
            <xm:f>'add on data access locations'!$B$25=""</xm:f>
            <x14:dxf>
              <font>
                <color theme="0"/>
              </font>
            </x14:dxf>
          </x14:cfRule>
          <xm:sqref>A29:L29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06EB1A7C-2CE4-46CB-9287-4D859C55DF75}">
          <x14:formula1>
            <xm:f>'\\osfileserver.telekom.de\shares$\CSN\Arbeitsverzeichnis Dokumente\Freigabeversionen\CSN_CSN-AS\1_Deutsch\2_Infodokumente\Arbeitsstände\[CSN-Steckbrief_1.21a_DE.xlsx]Stammdaten'!#REF!</xm:f>
          </x14:formula1>
          <xm:sqref>L6:L29</xm:sqref>
        </x14:dataValidation>
        <x14:dataValidation type="list" allowBlank="1" showInputMessage="1" showErrorMessage="1" xr:uid="{A89F4417-C280-40EF-B3B7-81E67116C7A2}">
          <x14:formula1>
            <xm:f>'\\osfileserver.telekom.de\shares$\CSN\Arbeitsverzeichnis Dokumente\Freigabeversionen\CSN_CSN-AS\1_Deutsch\2_Infodokumente\Arbeitsstände\[CSN-Steckbrief_1.21a_DE.xlsx]Stammdaten'!#REF!</xm:f>
          </x14:formula1>
          <xm:sqref>I9</xm:sqref>
        </x14:dataValidation>
        <x14:dataValidation type="list" allowBlank="1" showInputMessage="1" showErrorMessage="1" xr:uid="{14135CA1-90FD-4B39-ABCD-10F487415485}">
          <x14:formula1>
            <xm:f>Stammdaten!$A$44:$A$58</xm:f>
          </x14:formula1>
          <xm:sqref>I6:I8 I10:I29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autoPageBreaks="0"/>
  </sheetPr>
  <dimension ref="A1:BI59"/>
  <sheetViews>
    <sheetView showGridLines="0" topLeftCell="S1" zoomScale="85" zoomScaleNormal="85" workbookViewId="0">
      <selection activeCell="U6" sqref="U6"/>
    </sheetView>
  </sheetViews>
  <sheetFormatPr baseColWidth="10" defaultColWidth="9.140625" defaultRowHeight="12.75" x14ac:dyDescent="0.2"/>
  <cols>
    <col min="1" max="1" width="25.7109375" style="159" hidden="1" customWidth="1"/>
    <col min="2" max="2" width="65.85546875" style="159" hidden="1" customWidth="1"/>
    <col min="3" max="3" width="4.5703125" style="158" hidden="1" customWidth="1"/>
    <col min="4" max="4" width="6.140625" style="158" hidden="1" customWidth="1"/>
    <col min="5" max="5" width="9.140625" style="158" hidden="1" customWidth="1"/>
    <col min="6" max="6" width="7.7109375" style="158" hidden="1" customWidth="1"/>
    <col min="7" max="8" width="9.140625" style="158" hidden="1" customWidth="1"/>
    <col min="9" max="9" width="11.42578125" style="158" hidden="1" customWidth="1"/>
    <col min="10" max="10" width="9.42578125" style="158" hidden="1" customWidth="1"/>
    <col min="11" max="11" width="11.42578125" style="158" hidden="1" customWidth="1"/>
    <col min="12" max="12" width="9.85546875" style="158" hidden="1" customWidth="1"/>
    <col min="13" max="13" width="8.5703125" style="158" hidden="1" customWidth="1"/>
    <col min="14" max="14" width="9.7109375" style="158" hidden="1" customWidth="1"/>
    <col min="15" max="15" width="18.140625" style="158" hidden="1" customWidth="1"/>
    <col min="16" max="16" width="9.28515625" style="158" hidden="1" customWidth="1"/>
    <col min="17" max="17" width="8.5703125" style="158" hidden="1" customWidth="1"/>
    <col min="18" max="18" width="9.5703125" style="158" hidden="1" customWidth="1"/>
    <col min="19" max="19" width="9.140625" style="158" customWidth="1"/>
    <col min="20" max="20" width="7.85546875" style="158" customWidth="1"/>
    <col min="21" max="21" width="29.28515625" style="158" customWidth="1"/>
    <col min="22" max="31" width="9.140625" style="158"/>
    <col min="32" max="16384" width="9.140625" style="159"/>
  </cols>
  <sheetData>
    <row r="1" spans="1:61" x14ac:dyDescent="0.2">
      <c r="A1" s="155"/>
      <c r="B1" s="221"/>
      <c r="C1" s="222"/>
      <c r="D1" s="221"/>
      <c r="E1" s="221"/>
      <c r="F1" s="221"/>
      <c r="G1" s="222"/>
      <c r="H1" s="222"/>
      <c r="I1" s="222"/>
      <c r="J1" s="222"/>
      <c r="K1" s="222"/>
      <c r="L1" s="222"/>
      <c r="M1" s="222"/>
      <c r="N1" s="222"/>
      <c r="O1" s="222"/>
      <c r="P1" s="156"/>
      <c r="Q1" s="156"/>
      <c r="R1" s="156"/>
      <c r="S1" s="156"/>
      <c r="T1" s="156"/>
    </row>
    <row r="2" spans="1:61" x14ac:dyDescent="0.2">
      <c r="A2" s="155"/>
      <c r="B2" s="223" t="str">
        <f>IF($C$39=400,"Steckbrief vollständig - Zusammenfassung prüfen und Dokument an csn.service@o-s.de senden","x")</f>
        <v>x</v>
      </c>
      <c r="C2" s="219" t="s">
        <v>744</v>
      </c>
      <c r="D2" s="221"/>
      <c r="E2" s="221"/>
      <c r="F2" s="221"/>
      <c r="G2" s="221"/>
      <c r="H2" s="221"/>
      <c r="I2" s="221"/>
      <c r="J2" s="221"/>
      <c r="K2" s="221"/>
      <c r="L2" s="221"/>
      <c r="M2" s="221"/>
      <c r="N2" s="221"/>
      <c r="O2" s="221"/>
      <c r="P2" s="160"/>
      <c r="Q2" s="156"/>
      <c r="R2" s="156"/>
      <c r="S2" s="790" t="s">
        <v>1033</v>
      </c>
      <c r="T2" s="156"/>
    </row>
    <row r="3" spans="1:61" x14ac:dyDescent="0.2">
      <c r="A3" s="155"/>
      <c r="B3" s="224"/>
      <c r="C3" s="225" t="e">
        <f>IF($C$41&lt;300,"vorherige Seiten des Steckbriefs unvollständig - alle Tabellenblätter prüfen und ergänzen","")</f>
        <v>#VALUE!</v>
      </c>
      <c r="D3" s="221"/>
      <c r="E3" s="221"/>
      <c r="F3" s="221"/>
      <c r="G3" s="221"/>
      <c r="H3" s="221"/>
      <c r="I3" s="221"/>
      <c r="J3" s="221"/>
      <c r="K3" s="221"/>
      <c r="L3" s="221"/>
      <c r="M3" s="221"/>
      <c r="N3" s="221"/>
      <c r="O3" s="221"/>
      <c r="P3" s="160"/>
      <c r="Q3" s="156"/>
      <c r="R3" s="156"/>
      <c r="S3" s="789" t="s">
        <v>1032</v>
      </c>
      <c r="T3" s="156"/>
    </row>
    <row r="4" spans="1:61" x14ac:dyDescent="0.2">
      <c r="A4" s="155"/>
      <c r="B4" s="220"/>
      <c r="C4" s="220"/>
      <c r="D4" s="221"/>
      <c r="E4" s="221"/>
      <c r="F4" s="221"/>
      <c r="G4" s="226"/>
      <c r="H4" s="226"/>
      <c r="I4" s="226"/>
      <c r="J4" s="226"/>
      <c r="K4" s="226"/>
      <c r="L4" s="226"/>
      <c r="M4" s="226"/>
      <c r="N4" s="226"/>
      <c r="O4" s="226"/>
      <c r="P4" s="156"/>
      <c r="Q4" s="156"/>
      <c r="R4" s="156"/>
      <c r="S4" s="156"/>
      <c r="T4" s="156"/>
    </row>
    <row r="5" spans="1:61" ht="15" x14ac:dyDescent="0.2">
      <c r="A5" s="155"/>
      <c r="B5" s="221"/>
      <c r="C5" s="220"/>
      <c r="D5" s="221"/>
      <c r="E5" s="221"/>
      <c r="F5" s="221"/>
      <c r="G5" s="222"/>
      <c r="H5" s="222"/>
      <c r="I5" s="222"/>
      <c r="J5" s="222"/>
      <c r="K5" s="222"/>
      <c r="L5" s="222"/>
      <c r="M5" s="222"/>
      <c r="N5" s="161" t="e">
        <f>IF($C$3="vorherige Seiten des Steckbriefs unvollständig - alle Tabellenblätter prüfen und ergänzen","",IF($A$40&gt;0,IF($B$40&lt;10,"OK, next step",""),""))</f>
        <v>#VALUE!</v>
      </c>
      <c r="O5" s="222"/>
      <c r="P5" s="156"/>
      <c r="Q5" s="156"/>
      <c r="R5" s="156"/>
      <c r="S5" s="156"/>
      <c r="T5" s="156"/>
    </row>
    <row r="6" spans="1:61" s="3" customFormat="1" ht="93" customHeight="1" x14ac:dyDescent="0.2">
      <c r="A6" s="1048" t="s">
        <v>671</v>
      </c>
      <c r="B6" s="1048"/>
      <c r="C6" s="1048"/>
      <c r="D6" s="1048"/>
      <c r="E6" s="1048"/>
      <c r="F6" s="1048"/>
      <c r="G6" s="1048"/>
      <c r="H6" s="1048"/>
      <c r="I6" s="1048"/>
      <c r="J6" s="1049"/>
      <c r="K6" s="162"/>
      <c r="L6" s="162"/>
      <c r="M6" s="162"/>
      <c r="N6" s="162"/>
      <c r="O6" s="162"/>
      <c r="P6" s="162"/>
      <c r="Q6" s="162"/>
      <c r="R6" s="162"/>
      <c r="S6" s="162"/>
      <c r="T6" s="162"/>
      <c r="U6" s="163"/>
      <c r="V6" s="163"/>
      <c r="W6" s="163"/>
      <c r="X6" s="163"/>
      <c r="Y6" s="163"/>
      <c r="Z6" s="163"/>
      <c r="AA6" s="163"/>
      <c r="AB6" s="163"/>
      <c r="AC6" s="163"/>
      <c r="AD6" s="163"/>
      <c r="AE6" s="163"/>
    </row>
    <row r="7" spans="1:61" s="3" customFormat="1" ht="5.25" customHeight="1" x14ac:dyDescent="0.25">
      <c r="A7" s="164"/>
      <c r="B7" s="14"/>
      <c r="C7" s="165"/>
      <c r="D7" s="165"/>
      <c r="E7" s="162"/>
      <c r="F7" s="162"/>
      <c r="G7" s="162"/>
      <c r="H7" s="162"/>
      <c r="I7" s="162"/>
      <c r="J7" s="162"/>
      <c r="K7" s="162"/>
      <c r="L7" s="162"/>
      <c r="M7" s="162"/>
      <c r="N7" s="162"/>
      <c r="O7" s="162"/>
      <c r="P7" s="162"/>
      <c r="Q7" s="162"/>
      <c r="R7" s="162"/>
      <c r="S7" s="162"/>
      <c r="T7" s="162"/>
      <c r="U7" s="163"/>
      <c r="V7" s="163"/>
      <c r="W7" s="163"/>
      <c r="X7" s="163"/>
      <c r="Y7" s="163"/>
      <c r="Z7" s="163"/>
      <c r="AA7" s="163"/>
      <c r="AB7" s="163"/>
      <c r="AC7" s="163"/>
      <c r="AD7" s="163"/>
      <c r="AE7" s="163"/>
    </row>
    <row r="8" spans="1:61" ht="10.5" hidden="1" customHeight="1" x14ac:dyDescent="0.2">
      <c r="A8" s="166"/>
      <c r="B8" s="155"/>
      <c r="C8" s="157"/>
      <c r="D8" s="157"/>
      <c r="E8" s="157"/>
      <c r="F8" s="157"/>
      <c r="G8" s="157"/>
      <c r="H8" s="157"/>
      <c r="I8" s="157"/>
      <c r="J8" s="157"/>
      <c r="K8" s="157"/>
      <c r="L8" s="157"/>
      <c r="M8" s="157"/>
      <c r="N8" s="157"/>
      <c r="O8" s="157"/>
      <c r="P8" s="157"/>
      <c r="Q8" s="157"/>
      <c r="R8" s="157"/>
      <c r="S8" s="157"/>
      <c r="T8" s="157"/>
      <c r="U8" s="156"/>
    </row>
    <row r="9" spans="1:61" s="3" customFormat="1" ht="22.5" customHeight="1" thickBot="1" x14ac:dyDescent="0.25">
      <c r="A9" s="167"/>
      <c r="B9" s="168" t="str">
        <f>IF($B$40=0,"Applikationsauswahl noch offen - zurück und Daten vervollständigen","")</f>
        <v>Applikationsauswahl noch offen - zurück und Daten vervollständigen</v>
      </c>
      <c r="C9" s="169"/>
      <c r="D9" s="163"/>
      <c r="E9" s="170"/>
      <c r="F9" s="170"/>
      <c r="G9" s="170"/>
      <c r="H9" s="170"/>
      <c r="I9" s="170"/>
      <c r="J9" s="170"/>
      <c r="K9" s="170"/>
      <c r="L9" s="171"/>
      <c r="M9" s="171"/>
      <c r="N9" s="171"/>
      <c r="O9" s="171"/>
      <c r="P9" s="171"/>
      <c r="Q9" s="171"/>
      <c r="R9" s="171"/>
      <c r="S9" s="171"/>
      <c r="T9" s="171"/>
      <c r="U9" s="172"/>
      <c r="V9" s="172"/>
      <c r="W9" s="172"/>
      <c r="X9" s="172"/>
      <c r="Y9" s="172"/>
      <c r="Z9" s="172"/>
      <c r="AA9" s="172"/>
      <c r="AB9" s="172"/>
      <c r="AC9" s="172"/>
      <c r="AD9" s="172"/>
      <c r="AE9" s="172"/>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c r="BF9" s="173"/>
      <c r="BG9" s="173"/>
      <c r="BH9" s="173"/>
      <c r="BI9" s="173"/>
    </row>
    <row r="10" spans="1:61" s="3" customFormat="1" ht="27" customHeight="1" x14ac:dyDescent="0.2">
      <c r="A10" s="174" t="s">
        <v>52</v>
      </c>
      <c r="B10" s="175" t="str">
        <f>IF(applications!C6="","Marke noch nicht benannt","des beauftragenden Fachbereichs  für die Zusammenarbeit mit "&amp;applications!C6)</f>
        <v>Marke noch nicht benannt</v>
      </c>
      <c r="C10" s="176"/>
      <c r="D10" s="1050" t="s">
        <v>685</v>
      </c>
      <c r="E10" s="1050"/>
      <c r="F10" s="1050"/>
      <c r="G10" s="1050"/>
      <c r="H10" s="1050"/>
      <c r="I10" s="1050"/>
      <c r="J10" s="1050"/>
      <c r="K10" s="1050"/>
      <c r="L10" s="1050"/>
      <c r="M10" s="1050"/>
      <c r="N10" s="1050"/>
      <c r="O10" s="1050"/>
      <c r="P10" s="1051"/>
      <c r="Q10" s="172"/>
      <c r="R10" s="172"/>
      <c r="S10" s="172"/>
      <c r="T10" s="172"/>
      <c r="U10" s="172"/>
      <c r="V10" s="172"/>
      <c r="W10" s="172"/>
      <c r="X10" s="172"/>
      <c r="Y10" s="172"/>
      <c r="Z10" s="172"/>
      <c r="AA10" s="172"/>
      <c r="AB10" s="172"/>
      <c r="AC10" s="172"/>
      <c r="AD10" s="172"/>
      <c r="AE10" s="172"/>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c r="BF10" s="173"/>
      <c r="BG10" s="173"/>
      <c r="BH10" s="173"/>
      <c r="BI10" s="173"/>
    </row>
    <row r="11" spans="1:61" s="3" customFormat="1" ht="15" customHeight="1" x14ac:dyDescent="0.2">
      <c r="A11" s="177"/>
      <c r="B11" s="178" t="str">
        <f>IF(C11="keine Marke auf Tab Konzern-Applikationen ausgewählt -&gt; zurück zur Marken-/Applikationsauswahl","",IF(COUNTBLANK(applications!$B$11:$B$28)&lt;14,"! Felder befüllen",""))</f>
        <v/>
      </c>
      <c r="C11" s="179" t="str">
        <f>IF(applications!C6="","keine Marke auf Tab Konzern-Applikationen ausgewählt -&gt; zurück zur Marken-/Applikationsauswahl",IF(COUNTBLANK(applications!$B$11:$B$28)&lt;16,"","keine Applikation für die 1. Marke ausgewählt -&gt; zurück zur Auswahl"))</f>
        <v>keine Marke auf Tab Konzern-Applikationen ausgewählt -&gt; zurück zur Marken-/Applikationsauswahl</v>
      </c>
      <c r="D11" s="180"/>
      <c r="E11" s="170"/>
      <c r="F11" s="170"/>
      <c r="G11" s="170"/>
      <c r="H11" s="170"/>
      <c r="I11" s="170"/>
      <c r="J11" s="170"/>
      <c r="K11" s="170"/>
      <c r="L11" s="170"/>
      <c r="M11" s="170"/>
      <c r="N11" s="170"/>
      <c r="O11" s="170"/>
      <c r="P11" s="170"/>
      <c r="Q11" s="170"/>
      <c r="R11" s="170"/>
      <c r="S11" s="170"/>
      <c r="T11" s="170"/>
      <c r="U11" s="181"/>
      <c r="V11" s="172"/>
      <c r="W11" s="172"/>
      <c r="X11" s="172"/>
      <c r="Y11" s="172"/>
      <c r="Z11" s="172"/>
      <c r="AA11" s="172"/>
      <c r="AB11" s="172"/>
      <c r="AC11" s="172"/>
      <c r="AD11" s="172"/>
      <c r="AE11" s="172"/>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173"/>
      <c r="BE11" s="173"/>
      <c r="BF11" s="173"/>
      <c r="BG11" s="173"/>
      <c r="BH11" s="173"/>
      <c r="BI11" s="173"/>
    </row>
    <row r="12" spans="1:61" s="3" customFormat="1" ht="15" customHeight="1" x14ac:dyDescent="0.2">
      <c r="A12" s="182" t="s">
        <v>682</v>
      </c>
      <c r="B12" s="183" t="str">
        <f>IF(applications!C6="","zunächst Marke auf Tabellenblatt Konzern-Applikationen auswählen",applications!C6)</f>
        <v>zunächst Marke auf Tabellenblatt Konzern-Applikationen auswählen</v>
      </c>
      <c r="C12" s="184"/>
      <c r="D12" s="185" t="str">
        <f>IF(B12="zunächste Marke auf Tabellenblatt Konzern-Applikationen auswählen","",IF(SUM(K13:K19)=6,"OK",IF(SUM(K13:K19)&lt;6,"Tabelle unvollständig","")))</f>
        <v/>
      </c>
      <c r="E12" s="186"/>
      <c r="F12" s="186"/>
      <c r="G12" s="186"/>
      <c r="H12" s="186"/>
      <c r="I12" s="186"/>
      <c r="J12" s="184"/>
      <c r="K12" s="186"/>
      <c r="L12" s="186"/>
      <c r="M12" s="186"/>
      <c r="N12" s="186"/>
      <c r="O12" s="186"/>
      <c r="P12" s="186"/>
      <c r="Q12" s="186"/>
      <c r="R12" s="186"/>
      <c r="S12" s="186"/>
      <c r="T12" s="186"/>
      <c r="U12" s="181"/>
      <c r="V12" s="172"/>
      <c r="W12" s="172"/>
      <c r="X12" s="172"/>
      <c r="Y12" s="172"/>
      <c r="Z12" s="172"/>
      <c r="AA12" s="172"/>
      <c r="AB12" s="172"/>
      <c r="AC12" s="172"/>
      <c r="AD12" s="172"/>
      <c r="AE12" s="172"/>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173"/>
      <c r="BE12" s="173"/>
      <c r="BF12" s="173"/>
      <c r="BG12" s="173"/>
      <c r="BH12" s="173"/>
      <c r="BI12" s="173"/>
    </row>
    <row r="13" spans="1:61" s="3" customFormat="1" ht="15" customHeight="1" x14ac:dyDescent="0.2">
      <c r="A13" s="187" t="s">
        <v>45</v>
      </c>
      <c r="B13" s="188"/>
      <c r="C13" s="189"/>
      <c r="D13" s="185"/>
      <c r="E13" s="186"/>
      <c r="F13" s="186"/>
      <c r="G13" s="186"/>
      <c r="H13" s="186"/>
      <c r="I13" s="186"/>
      <c r="J13" s="190"/>
      <c r="K13" s="323">
        <f t="shared" ref="K13:K19" si="0">IF($B$11="! Felder befüllen",IF(ISBLANK(B13),0,1),10)</f>
        <v>10</v>
      </c>
      <c r="L13" s="191"/>
      <c r="M13" s="186"/>
      <c r="N13" s="186"/>
      <c r="O13" s="186"/>
      <c r="P13" s="186"/>
      <c r="Q13" s="186"/>
      <c r="R13" s="186"/>
      <c r="S13" s="186"/>
      <c r="T13" s="186"/>
      <c r="U13" s="181"/>
      <c r="V13" s="172"/>
      <c r="W13" s="172"/>
      <c r="X13" s="172"/>
      <c r="Y13" s="172"/>
      <c r="Z13" s="172"/>
      <c r="AA13" s="172"/>
      <c r="AB13" s="172"/>
      <c r="AC13" s="172"/>
      <c r="AD13" s="172"/>
      <c r="AE13" s="172"/>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173"/>
      <c r="BE13" s="173"/>
      <c r="BF13" s="173"/>
      <c r="BG13" s="173"/>
      <c r="BH13" s="173"/>
      <c r="BI13" s="173"/>
    </row>
    <row r="14" spans="1:61" s="3" customFormat="1" ht="15" customHeight="1" x14ac:dyDescent="0.2">
      <c r="A14" s="187" t="s">
        <v>18</v>
      </c>
      <c r="B14" s="192"/>
      <c r="C14" s="193"/>
      <c r="D14" s="184"/>
      <c r="E14" s="186"/>
      <c r="F14" s="186"/>
      <c r="G14" s="186"/>
      <c r="H14" s="186"/>
      <c r="I14" s="186"/>
      <c r="J14" s="191"/>
      <c r="K14" s="323">
        <f t="shared" si="0"/>
        <v>10</v>
      </c>
      <c r="L14" s="191"/>
      <c r="M14" s="186"/>
      <c r="N14" s="186"/>
      <c r="O14" s="186"/>
      <c r="P14" s="186"/>
      <c r="Q14" s="186"/>
      <c r="R14" s="186"/>
      <c r="S14" s="186"/>
      <c r="T14" s="186"/>
      <c r="U14" s="181"/>
      <c r="V14" s="172"/>
      <c r="W14" s="172"/>
      <c r="X14" s="172"/>
      <c r="Y14" s="172"/>
      <c r="Z14" s="172"/>
      <c r="AA14" s="172"/>
      <c r="AB14" s="172"/>
      <c r="AC14" s="172"/>
      <c r="AD14" s="172"/>
      <c r="AE14" s="172"/>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73"/>
      <c r="BF14" s="173"/>
      <c r="BG14" s="173"/>
      <c r="BH14" s="173"/>
      <c r="BI14" s="173"/>
    </row>
    <row r="15" spans="1:61" s="3" customFormat="1" ht="15" customHeight="1" x14ac:dyDescent="0.2">
      <c r="A15" s="187" t="s">
        <v>19</v>
      </c>
      <c r="B15" s="192"/>
      <c r="C15" s="193"/>
      <c r="D15" s="194"/>
      <c r="E15" s="186"/>
      <c r="F15" s="186"/>
      <c r="G15" s="186"/>
      <c r="H15" s="186"/>
      <c r="I15" s="186"/>
      <c r="J15" s="191"/>
      <c r="K15" s="323">
        <f t="shared" si="0"/>
        <v>10</v>
      </c>
      <c r="L15" s="191"/>
      <c r="M15" s="186"/>
      <c r="N15" s="186"/>
      <c r="O15" s="186"/>
      <c r="P15" s="186"/>
      <c r="Q15" s="186"/>
      <c r="R15" s="186"/>
      <c r="S15" s="186"/>
      <c r="T15" s="186"/>
      <c r="U15" s="181"/>
      <c r="V15" s="172"/>
      <c r="W15" s="172"/>
      <c r="X15" s="172"/>
      <c r="Y15" s="172"/>
      <c r="Z15" s="172"/>
      <c r="AA15" s="172"/>
      <c r="AB15" s="172"/>
      <c r="AC15" s="172"/>
      <c r="AD15" s="172"/>
      <c r="AE15" s="172"/>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73"/>
      <c r="BF15" s="173"/>
      <c r="BG15" s="173"/>
      <c r="BH15" s="173"/>
      <c r="BI15" s="173"/>
    </row>
    <row r="16" spans="1:61" s="3" customFormat="1" ht="22.5" customHeight="1" x14ac:dyDescent="0.2">
      <c r="A16" s="195" t="s">
        <v>692</v>
      </c>
      <c r="B16" s="196"/>
      <c r="C16" s="197"/>
      <c r="D16" s="194"/>
      <c r="E16" s="186"/>
      <c r="F16" s="186"/>
      <c r="G16" s="186"/>
      <c r="H16" s="186"/>
      <c r="I16" s="186"/>
      <c r="J16" s="191"/>
      <c r="K16" s="323">
        <f t="shared" si="0"/>
        <v>10</v>
      </c>
      <c r="L16" s="191"/>
      <c r="M16" s="186"/>
      <c r="N16" s="186"/>
      <c r="O16" s="186"/>
      <c r="P16" s="186"/>
      <c r="Q16" s="186"/>
      <c r="R16" s="186"/>
      <c r="S16" s="186"/>
      <c r="T16" s="186"/>
      <c r="U16" s="181"/>
      <c r="V16" s="172"/>
      <c r="W16" s="172"/>
      <c r="X16" s="172"/>
      <c r="Y16" s="172"/>
      <c r="Z16" s="172"/>
      <c r="AA16" s="172"/>
      <c r="AB16" s="172"/>
      <c r="AC16" s="172"/>
      <c r="AD16" s="172"/>
      <c r="AE16" s="172"/>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row>
    <row r="17" spans="1:61" s="3" customFormat="1" ht="15" customHeight="1" x14ac:dyDescent="0.2">
      <c r="A17" s="187" t="s">
        <v>20</v>
      </c>
      <c r="B17" s="198"/>
      <c r="C17" s="197"/>
      <c r="D17" s="194"/>
      <c r="E17" s="186"/>
      <c r="F17" s="186"/>
      <c r="G17" s="186"/>
      <c r="H17" s="186"/>
      <c r="I17" s="186"/>
      <c r="J17" s="191"/>
      <c r="K17" s="323">
        <f t="shared" si="0"/>
        <v>10</v>
      </c>
      <c r="L17" s="191"/>
      <c r="M17" s="186"/>
      <c r="N17" s="186"/>
      <c r="O17" s="186"/>
      <c r="P17" s="186"/>
      <c r="Q17" s="186"/>
      <c r="R17" s="186"/>
      <c r="S17" s="186"/>
      <c r="T17" s="186"/>
      <c r="U17" s="181"/>
      <c r="V17" s="172"/>
      <c r="W17" s="172"/>
      <c r="X17" s="172"/>
      <c r="Y17" s="172"/>
      <c r="Z17" s="172"/>
      <c r="AA17" s="172"/>
      <c r="AB17" s="172"/>
      <c r="AC17" s="172"/>
      <c r="AD17" s="172"/>
      <c r="AE17" s="172"/>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173"/>
      <c r="BE17" s="173"/>
      <c r="BF17" s="173"/>
      <c r="BG17" s="173"/>
      <c r="BH17" s="173"/>
      <c r="BI17" s="173"/>
    </row>
    <row r="18" spans="1:61" s="3" customFormat="1" ht="15" customHeight="1" x14ac:dyDescent="0.2">
      <c r="A18" s="199" t="s">
        <v>708</v>
      </c>
      <c r="B18" s="198"/>
      <c r="C18" s="197"/>
      <c r="D18" s="194"/>
      <c r="E18" s="186"/>
      <c r="F18" s="186"/>
      <c r="G18" s="186"/>
      <c r="H18" s="186"/>
      <c r="I18" s="186"/>
      <c r="J18" s="191"/>
      <c r="K18" s="323"/>
      <c r="L18" s="191"/>
      <c r="M18" s="186"/>
      <c r="N18" s="186"/>
      <c r="O18" s="186"/>
      <c r="P18" s="186"/>
      <c r="Q18" s="186"/>
      <c r="R18" s="186"/>
      <c r="S18" s="186"/>
      <c r="T18" s="186"/>
      <c r="U18" s="181"/>
      <c r="V18" s="172"/>
      <c r="W18" s="172"/>
      <c r="X18" s="172"/>
      <c r="Y18" s="172"/>
      <c r="Z18" s="172"/>
      <c r="AA18" s="172"/>
      <c r="AB18" s="172"/>
      <c r="AC18" s="172"/>
      <c r="AD18" s="172"/>
      <c r="AE18" s="172"/>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73"/>
      <c r="BF18" s="173"/>
      <c r="BG18" s="173"/>
      <c r="BH18" s="173"/>
      <c r="BI18" s="173"/>
    </row>
    <row r="19" spans="1:61" s="3" customFormat="1" ht="15" customHeight="1" x14ac:dyDescent="0.25">
      <c r="A19" s="187" t="s">
        <v>34</v>
      </c>
      <c r="B19" s="200"/>
      <c r="C19" s="193"/>
      <c r="D19" s="184"/>
      <c r="E19" s="186"/>
      <c r="F19" s="186"/>
      <c r="G19" s="186"/>
      <c r="H19" s="186"/>
      <c r="I19" s="186"/>
      <c r="J19" s="191"/>
      <c r="K19" s="323">
        <f t="shared" si="0"/>
        <v>10</v>
      </c>
      <c r="L19" s="191"/>
      <c r="M19" s="186"/>
      <c r="N19" s="186"/>
      <c r="O19" s="186"/>
      <c r="P19" s="186"/>
      <c r="Q19" s="186"/>
      <c r="R19" s="186"/>
      <c r="S19" s="186"/>
      <c r="T19" s="186"/>
      <c r="U19" s="181"/>
      <c r="V19" s="172"/>
      <c r="W19" s="172"/>
      <c r="X19" s="172"/>
      <c r="Y19" s="172"/>
      <c r="Z19" s="172"/>
      <c r="AA19" s="172"/>
      <c r="AB19" s="172"/>
      <c r="AC19" s="172"/>
      <c r="AD19" s="172"/>
      <c r="AE19" s="172"/>
      <c r="AF19" s="173"/>
      <c r="AG19" s="173"/>
      <c r="AH19" s="173"/>
      <c r="AI19" s="173"/>
      <c r="AJ19" s="173"/>
      <c r="AK19" s="173"/>
      <c r="AL19" s="173"/>
      <c r="AM19" s="173"/>
      <c r="AN19" s="173"/>
      <c r="AO19" s="173"/>
      <c r="AP19" s="173"/>
      <c r="AQ19" s="173"/>
      <c r="AR19" s="173"/>
      <c r="AS19" s="173"/>
      <c r="AT19" s="173"/>
      <c r="AU19" s="173"/>
      <c r="AV19" s="173"/>
      <c r="AW19" s="173"/>
      <c r="AX19" s="173"/>
      <c r="AY19" s="173"/>
      <c r="AZ19" s="173"/>
      <c r="BA19" s="173"/>
      <c r="BB19" s="173"/>
      <c r="BC19" s="173"/>
      <c r="BD19" s="173"/>
      <c r="BE19" s="173"/>
      <c r="BF19" s="173"/>
      <c r="BG19" s="173"/>
      <c r="BH19" s="173"/>
      <c r="BI19" s="173"/>
    </row>
    <row r="20" spans="1:61" s="3" customFormat="1" ht="32.25" customHeight="1" thickBot="1" x14ac:dyDescent="0.25">
      <c r="A20" s="201"/>
      <c r="B20" s="202"/>
      <c r="C20" s="186"/>
      <c r="D20" s="186"/>
      <c r="E20" s="186"/>
      <c r="F20" s="186"/>
      <c r="G20" s="186"/>
      <c r="H20" s="186"/>
      <c r="I20" s="186"/>
      <c r="J20" s="191"/>
      <c r="K20" s="323"/>
      <c r="L20" s="191"/>
      <c r="M20" s="186"/>
      <c r="N20" s="186"/>
      <c r="O20" s="186"/>
      <c r="P20" s="186"/>
      <c r="Q20" s="186"/>
      <c r="R20" s="186"/>
      <c r="S20" s="186"/>
      <c r="T20" s="186"/>
      <c r="U20" s="181"/>
      <c r="V20" s="172"/>
      <c r="W20" s="172"/>
      <c r="X20" s="172"/>
      <c r="Y20" s="172"/>
      <c r="Z20" s="172"/>
      <c r="AA20" s="172"/>
      <c r="AB20" s="172"/>
      <c r="AC20" s="172"/>
      <c r="AD20" s="172"/>
      <c r="AE20" s="172"/>
      <c r="AF20" s="173"/>
      <c r="AG20" s="173"/>
      <c r="AH20" s="173"/>
      <c r="AI20" s="173"/>
      <c r="AJ20" s="173"/>
      <c r="AK20" s="173"/>
      <c r="AL20" s="173"/>
      <c r="AM20" s="173"/>
      <c r="AN20" s="173"/>
      <c r="AO20" s="173"/>
      <c r="AP20" s="173"/>
      <c r="AQ20" s="173"/>
      <c r="AR20" s="173"/>
      <c r="AS20" s="173"/>
      <c r="AT20" s="173"/>
      <c r="AU20" s="173"/>
      <c r="AV20" s="173"/>
      <c r="AW20" s="173"/>
      <c r="AX20" s="173"/>
      <c r="AY20" s="173"/>
      <c r="AZ20" s="173"/>
      <c r="BA20" s="173"/>
      <c r="BB20" s="173"/>
      <c r="BC20" s="173"/>
      <c r="BD20" s="173"/>
      <c r="BE20" s="173"/>
      <c r="BF20" s="173"/>
      <c r="BG20" s="173"/>
      <c r="BH20" s="173"/>
      <c r="BI20" s="173"/>
    </row>
    <row r="21" spans="1:61" s="3" customFormat="1" ht="24" customHeight="1" x14ac:dyDescent="0.2">
      <c r="A21" s="174" t="s">
        <v>52</v>
      </c>
      <c r="B21" s="175" t="str">
        <f>IF(applications!C7="","Marke noch nicht benannt","des beauftragenden Fachbereichs  für die Zusammenarbeit mit "&amp;applications!C7)</f>
        <v>Marke noch nicht benannt</v>
      </c>
      <c r="C21" s="176"/>
      <c r="D21" s="1052" t="s">
        <v>685</v>
      </c>
      <c r="E21" s="1052"/>
      <c r="F21" s="1052"/>
      <c r="G21" s="1052"/>
      <c r="H21" s="1052"/>
      <c r="I21" s="1052"/>
      <c r="J21" s="1052"/>
      <c r="K21" s="1052"/>
      <c r="L21" s="1052"/>
      <c r="M21" s="1052"/>
      <c r="N21" s="1052"/>
      <c r="O21" s="1052"/>
      <c r="P21" s="1052"/>
      <c r="Q21" s="170"/>
      <c r="R21" s="170"/>
      <c r="S21" s="170"/>
      <c r="T21" s="170"/>
      <c r="U21" s="181"/>
      <c r="V21" s="172"/>
      <c r="W21" s="172"/>
      <c r="X21" s="172"/>
      <c r="Y21" s="172"/>
      <c r="Z21" s="172"/>
      <c r="AA21" s="172"/>
      <c r="AB21" s="172"/>
      <c r="AC21" s="172"/>
      <c r="AD21" s="172"/>
      <c r="AE21" s="172"/>
      <c r="AF21" s="173"/>
      <c r="AG21" s="173"/>
      <c r="AH21" s="173"/>
      <c r="AI21" s="173"/>
      <c r="AJ21" s="173"/>
      <c r="AK21" s="173"/>
      <c r="AL21" s="173"/>
      <c r="AM21" s="173"/>
      <c r="AN21" s="173"/>
      <c r="AO21" s="173"/>
      <c r="AP21" s="173"/>
      <c r="AQ21" s="173"/>
      <c r="AR21" s="173"/>
      <c r="AS21" s="173"/>
      <c r="AT21" s="173"/>
      <c r="AU21" s="173"/>
      <c r="AV21" s="173"/>
      <c r="AW21" s="173"/>
      <c r="AX21" s="173"/>
      <c r="AY21" s="173"/>
      <c r="AZ21" s="173"/>
      <c r="BA21" s="173"/>
      <c r="BB21" s="173"/>
      <c r="BC21" s="173"/>
      <c r="BD21" s="173"/>
      <c r="BE21" s="173"/>
      <c r="BF21" s="173"/>
      <c r="BG21" s="173"/>
      <c r="BH21" s="173"/>
      <c r="BI21" s="173"/>
    </row>
    <row r="22" spans="1:61" s="3" customFormat="1" ht="15.75" customHeight="1" x14ac:dyDescent="0.2">
      <c r="A22" s="177"/>
      <c r="B22" s="178" t="str">
        <f>IF(C22="keine Marke auf Tab Konzern-Applikationen ausgewählt -&gt; zurück zur Marken-/Applikationsauswahl","",IF(COUNTBLANK(applications!$C$11:$C$28)&lt;14,"! Felder befüllen",""))</f>
        <v/>
      </c>
      <c r="C22" s="179" t="str">
        <f>IF(applications!C7="","keine Marke auf Tab Konzern-Applikationen ausgewählt -&gt; zurück zur Marken-/Applikationsauswahl",IF(COUNTBLANK(applications!$C$11:$C$28)&lt;16,"","keine Applikation für die 2. Marke ausgewählt -&gt; zurück zur Marken-/Applikationsauswahl"))</f>
        <v>keine Marke auf Tab Konzern-Applikationen ausgewählt -&gt; zurück zur Marken-/Applikationsauswahl</v>
      </c>
      <c r="D22" s="203"/>
      <c r="E22" s="170"/>
      <c r="F22" s="170"/>
      <c r="G22" s="170"/>
      <c r="H22" s="170"/>
      <c r="I22" s="170"/>
      <c r="J22" s="170"/>
      <c r="K22" s="170"/>
      <c r="L22" s="170"/>
      <c r="M22" s="170"/>
      <c r="N22" s="170"/>
      <c r="O22" s="170"/>
      <c r="P22" s="170"/>
      <c r="Q22" s="170"/>
      <c r="R22" s="170"/>
      <c r="S22" s="170"/>
      <c r="T22" s="170"/>
      <c r="U22" s="181"/>
      <c r="V22" s="172"/>
      <c r="W22" s="172"/>
      <c r="X22" s="172"/>
      <c r="Y22" s="172"/>
      <c r="Z22" s="172"/>
      <c r="AA22" s="172"/>
      <c r="AB22" s="172"/>
      <c r="AC22" s="172"/>
      <c r="AD22" s="172"/>
      <c r="AE22" s="172"/>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73"/>
      <c r="BF22" s="173"/>
      <c r="BG22" s="173"/>
      <c r="BH22" s="173"/>
      <c r="BI22" s="173"/>
    </row>
    <row r="23" spans="1:61" s="3" customFormat="1" ht="15.75" customHeight="1" x14ac:dyDescent="0.2">
      <c r="A23" s="182" t="s">
        <v>682</v>
      </c>
      <c r="B23" s="183" t="str">
        <f>IF(applications!C7="","zunächst Marke auf Tabellenblatt Konzern-Applikationen auswählen",applications!C7)</f>
        <v>zunächst Marke auf Tabellenblatt Konzern-Applikationen auswählen</v>
      </c>
      <c r="C23" s="204"/>
      <c r="D23" s="205" t="str">
        <f>IF(B23="zunächst Marke auf Tabellenblatt Konzern-Applikationen auswählen","",IF(SUM(K24:K30)=6,"OK",IF(SUM(K25:K31)&lt;6,"Tabelle unvollständig","")))</f>
        <v/>
      </c>
      <c r="E23" s="170"/>
      <c r="F23" s="170"/>
      <c r="G23" s="170"/>
      <c r="H23" s="170"/>
      <c r="I23" s="170"/>
      <c r="J23" s="191"/>
      <c r="K23" s="191"/>
      <c r="L23" s="170"/>
      <c r="M23" s="170"/>
      <c r="N23" s="170"/>
      <c r="O23" s="170"/>
      <c r="P23" s="170"/>
      <c r="Q23" s="170"/>
      <c r="R23" s="170"/>
      <c r="S23" s="170"/>
      <c r="T23" s="170"/>
      <c r="U23" s="181"/>
      <c r="V23" s="172"/>
      <c r="W23" s="172"/>
      <c r="X23" s="172"/>
      <c r="Y23" s="172"/>
      <c r="Z23" s="172"/>
      <c r="AA23" s="172"/>
      <c r="AB23" s="172"/>
      <c r="AC23" s="172"/>
      <c r="AD23" s="172"/>
      <c r="AE23" s="172"/>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73"/>
      <c r="BF23" s="173"/>
      <c r="BG23" s="173"/>
      <c r="BH23" s="173"/>
      <c r="BI23" s="173"/>
    </row>
    <row r="24" spans="1:61" s="3" customFormat="1" ht="15" customHeight="1" x14ac:dyDescent="0.2">
      <c r="A24" s="206" t="s">
        <v>45</v>
      </c>
      <c r="B24" s="207"/>
      <c r="C24" s="193"/>
      <c r="D24" s="184"/>
      <c r="E24" s="186"/>
      <c r="F24" s="186"/>
      <c r="G24" s="186"/>
      <c r="H24" s="186"/>
      <c r="I24" s="186"/>
      <c r="J24" s="208"/>
      <c r="K24" s="323">
        <f>IF($B$22="! Felder befüllen",IF(ISBLANK(B24),0,1),10)</f>
        <v>10</v>
      </c>
      <c r="L24" s="186"/>
      <c r="M24" s="186"/>
      <c r="N24" s="186"/>
      <c r="O24" s="186"/>
      <c r="P24" s="170"/>
      <c r="Q24" s="170"/>
      <c r="R24" s="170"/>
      <c r="S24" s="170"/>
      <c r="T24" s="170"/>
      <c r="U24" s="181"/>
      <c r="V24" s="172"/>
      <c r="W24" s="172"/>
      <c r="X24" s="172"/>
      <c r="Y24" s="172"/>
      <c r="Z24" s="172"/>
      <c r="AA24" s="172"/>
      <c r="AB24" s="172"/>
      <c r="AC24" s="172"/>
      <c r="AD24" s="172"/>
      <c r="AE24" s="172"/>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row>
    <row r="25" spans="1:61" s="3" customFormat="1" ht="15" customHeight="1" x14ac:dyDescent="0.2">
      <c r="A25" s="206" t="s">
        <v>18</v>
      </c>
      <c r="B25" s="209"/>
      <c r="C25" s="193"/>
      <c r="D25" s="194"/>
      <c r="E25" s="186"/>
      <c r="F25" s="186"/>
      <c r="G25" s="186"/>
      <c r="H25" s="186"/>
      <c r="I25" s="186"/>
      <c r="J25" s="191"/>
      <c r="K25" s="323">
        <f t="shared" ref="K25:K30" si="1">IF($B$22="! Felder befüllen",IF(ISBLANK(B25),0,1),10)</f>
        <v>10</v>
      </c>
      <c r="L25" s="186"/>
      <c r="M25" s="186"/>
      <c r="N25" s="186"/>
      <c r="O25" s="186"/>
      <c r="P25" s="170"/>
      <c r="Q25" s="170"/>
      <c r="R25" s="170"/>
      <c r="S25" s="170"/>
      <c r="T25" s="170"/>
      <c r="U25" s="181"/>
      <c r="V25" s="172"/>
      <c r="W25" s="172"/>
      <c r="X25" s="172"/>
      <c r="Y25" s="172"/>
      <c r="Z25" s="172"/>
      <c r="AA25" s="172"/>
      <c r="AB25" s="172"/>
      <c r="AC25" s="172"/>
      <c r="AD25" s="172"/>
      <c r="AE25" s="172"/>
      <c r="AF25" s="173"/>
      <c r="AG25" s="173"/>
      <c r="AH25" s="173"/>
      <c r="AI25" s="173"/>
      <c r="AJ25" s="173"/>
      <c r="AK25" s="173"/>
      <c r="AL25" s="173"/>
      <c r="AM25" s="173"/>
      <c r="AN25" s="173"/>
      <c r="AO25" s="173"/>
      <c r="AP25" s="173"/>
      <c r="AQ25" s="173"/>
      <c r="AR25" s="173"/>
      <c r="AS25" s="173"/>
      <c r="AT25" s="173"/>
      <c r="AU25" s="173"/>
      <c r="AV25" s="173"/>
      <c r="AW25" s="173"/>
      <c r="AX25" s="173"/>
      <c r="AY25" s="173"/>
      <c r="AZ25" s="173"/>
      <c r="BA25" s="173"/>
      <c r="BB25" s="173"/>
      <c r="BC25" s="173"/>
      <c r="BD25" s="173"/>
      <c r="BE25" s="173"/>
      <c r="BF25" s="173"/>
      <c r="BG25" s="173"/>
      <c r="BH25" s="173"/>
      <c r="BI25" s="173"/>
    </row>
    <row r="26" spans="1:61" s="3" customFormat="1" ht="15" customHeight="1" x14ac:dyDescent="0.2">
      <c r="A26" s="206" t="s">
        <v>19</v>
      </c>
      <c r="B26" s="209"/>
      <c r="C26" s="193"/>
      <c r="D26" s="194"/>
      <c r="E26" s="186"/>
      <c r="F26" s="186"/>
      <c r="G26" s="186"/>
      <c r="H26" s="186"/>
      <c r="I26" s="186"/>
      <c r="J26" s="191"/>
      <c r="K26" s="323">
        <f t="shared" si="1"/>
        <v>10</v>
      </c>
      <c r="L26" s="186"/>
      <c r="M26" s="186"/>
      <c r="N26" s="186"/>
      <c r="O26" s="186"/>
      <c r="P26" s="170"/>
      <c r="Q26" s="170"/>
      <c r="R26" s="170"/>
      <c r="S26" s="170"/>
      <c r="T26" s="170"/>
      <c r="U26" s="181"/>
      <c r="V26" s="172"/>
      <c r="W26" s="172"/>
      <c r="X26" s="172"/>
      <c r="Y26" s="172"/>
      <c r="Z26" s="172"/>
      <c r="AA26" s="172"/>
      <c r="AB26" s="172"/>
      <c r="AC26" s="172"/>
      <c r="AD26" s="172"/>
      <c r="AE26" s="172"/>
      <c r="AF26" s="173"/>
      <c r="AG26" s="173"/>
      <c r="AH26" s="173"/>
      <c r="AI26" s="173"/>
      <c r="AJ26" s="173"/>
      <c r="AK26" s="173"/>
      <c r="AL26" s="173"/>
      <c r="AM26" s="173"/>
      <c r="AN26" s="173"/>
      <c r="AO26" s="173"/>
      <c r="AP26" s="173"/>
      <c r="AQ26" s="173"/>
      <c r="AR26" s="173"/>
      <c r="AS26" s="173"/>
      <c r="AT26" s="173"/>
      <c r="AU26" s="173"/>
      <c r="AV26" s="173"/>
      <c r="AW26" s="173"/>
      <c r="AX26" s="173"/>
      <c r="AY26" s="173"/>
      <c r="AZ26" s="173"/>
      <c r="BA26" s="173"/>
      <c r="BB26" s="173"/>
      <c r="BC26" s="173"/>
      <c r="BD26" s="173"/>
      <c r="BE26" s="173"/>
      <c r="BF26" s="173"/>
      <c r="BG26" s="173"/>
      <c r="BH26" s="173"/>
      <c r="BI26" s="173"/>
    </row>
    <row r="27" spans="1:61" s="3" customFormat="1" ht="26.25" customHeight="1" x14ac:dyDescent="0.2">
      <c r="A27" s="210" t="s">
        <v>29</v>
      </c>
      <c r="B27" s="196"/>
      <c r="C27" s="197"/>
      <c r="D27" s="194"/>
      <c r="E27" s="186"/>
      <c r="F27" s="186"/>
      <c r="G27" s="186"/>
      <c r="H27" s="186"/>
      <c r="I27" s="186"/>
      <c r="J27" s="191"/>
      <c r="K27" s="323">
        <f t="shared" si="1"/>
        <v>10</v>
      </c>
      <c r="L27" s="186"/>
      <c r="M27" s="186"/>
      <c r="N27" s="186"/>
      <c r="O27" s="186"/>
      <c r="P27" s="170"/>
      <c r="Q27" s="170"/>
      <c r="R27" s="170"/>
      <c r="S27" s="170"/>
      <c r="T27" s="170"/>
      <c r="U27" s="181"/>
      <c r="V27" s="172"/>
      <c r="W27" s="172"/>
      <c r="X27" s="172"/>
      <c r="Y27" s="172"/>
      <c r="Z27" s="172"/>
      <c r="AA27" s="172"/>
      <c r="AB27" s="172"/>
      <c r="AC27" s="172"/>
      <c r="AD27" s="172"/>
      <c r="AE27" s="172"/>
      <c r="AF27" s="173"/>
      <c r="AG27" s="173"/>
      <c r="AH27" s="173"/>
      <c r="AI27" s="173"/>
      <c r="AJ27" s="173"/>
      <c r="AK27" s="173"/>
      <c r="AL27" s="173"/>
      <c r="AM27" s="173"/>
      <c r="AN27" s="173"/>
      <c r="AO27" s="173"/>
      <c r="AP27" s="173"/>
      <c r="AQ27" s="173"/>
      <c r="AR27" s="173"/>
      <c r="AS27" s="173"/>
      <c r="AT27" s="173"/>
      <c r="AU27" s="173"/>
      <c r="AV27" s="173"/>
      <c r="AW27" s="173"/>
      <c r="AX27" s="173"/>
      <c r="AY27" s="173"/>
      <c r="AZ27" s="173"/>
      <c r="BA27" s="173"/>
      <c r="BB27" s="173"/>
      <c r="BC27" s="173"/>
      <c r="BD27" s="173"/>
      <c r="BE27" s="173"/>
      <c r="BF27" s="173"/>
      <c r="BG27" s="173"/>
      <c r="BH27" s="173"/>
      <c r="BI27" s="173"/>
    </row>
    <row r="28" spans="1:61" s="3" customFormat="1" ht="15" customHeight="1" x14ac:dyDescent="0.2">
      <c r="A28" s="206" t="s">
        <v>20</v>
      </c>
      <c r="B28" s="196"/>
      <c r="C28" s="197"/>
      <c r="D28" s="194"/>
      <c r="E28" s="186"/>
      <c r="F28" s="186"/>
      <c r="G28" s="186"/>
      <c r="H28" s="186"/>
      <c r="I28" s="186"/>
      <c r="J28" s="191"/>
      <c r="K28" s="323">
        <f t="shared" si="1"/>
        <v>10</v>
      </c>
      <c r="L28" s="186"/>
      <c r="M28" s="186"/>
      <c r="N28" s="186"/>
      <c r="O28" s="186"/>
      <c r="P28" s="170"/>
      <c r="Q28" s="170"/>
      <c r="R28" s="170"/>
      <c r="S28" s="170"/>
      <c r="T28" s="170"/>
      <c r="U28" s="181"/>
      <c r="V28" s="172"/>
      <c r="W28" s="172"/>
      <c r="X28" s="172"/>
      <c r="Y28" s="172"/>
      <c r="Z28" s="172"/>
      <c r="AA28" s="172"/>
      <c r="AB28" s="172"/>
      <c r="AC28" s="172"/>
      <c r="AD28" s="172"/>
      <c r="AE28" s="172"/>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row>
    <row r="29" spans="1:61" s="3" customFormat="1" ht="15" customHeight="1" x14ac:dyDescent="0.2">
      <c r="A29" s="211" t="s">
        <v>708</v>
      </c>
      <c r="B29" s="196"/>
      <c r="C29" s="197"/>
      <c r="D29" s="194"/>
      <c r="E29" s="186"/>
      <c r="F29" s="186"/>
      <c r="G29" s="186"/>
      <c r="H29" s="186"/>
      <c r="I29" s="186"/>
      <c r="J29" s="191"/>
      <c r="K29" s="323"/>
      <c r="L29" s="186"/>
      <c r="M29" s="186"/>
      <c r="N29" s="186"/>
      <c r="O29" s="186"/>
      <c r="P29" s="170"/>
      <c r="Q29" s="170"/>
      <c r="R29" s="170"/>
      <c r="S29" s="170"/>
      <c r="T29" s="170"/>
      <c r="U29" s="181"/>
      <c r="V29" s="172"/>
      <c r="W29" s="172"/>
      <c r="X29" s="172"/>
      <c r="Y29" s="172"/>
      <c r="Z29" s="172"/>
      <c r="AA29" s="172"/>
      <c r="AB29" s="172"/>
      <c r="AC29" s="172"/>
      <c r="AD29" s="172"/>
      <c r="AE29" s="172"/>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row>
    <row r="30" spans="1:61" s="3" customFormat="1" ht="15" customHeight="1" x14ac:dyDescent="0.2">
      <c r="A30" s="206" t="s">
        <v>34</v>
      </c>
      <c r="B30" s="212"/>
      <c r="C30" s="193"/>
      <c r="D30" s="194"/>
      <c r="E30" s="186"/>
      <c r="F30" s="186"/>
      <c r="G30" s="186"/>
      <c r="H30" s="186"/>
      <c r="I30" s="186"/>
      <c r="J30" s="191"/>
      <c r="K30" s="323">
        <f t="shared" si="1"/>
        <v>10</v>
      </c>
      <c r="L30" s="186"/>
      <c r="M30" s="186"/>
      <c r="N30" s="186"/>
      <c r="O30" s="186"/>
      <c r="P30" s="170"/>
      <c r="Q30" s="170"/>
      <c r="R30" s="170"/>
      <c r="S30" s="170"/>
      <c r="T30" s="170"/>
      <c r="U30" s="181"/>
      <c r="V30" s="172"/>
      <c r="W30" s="172"/>
      <c r="X30" s="172"/>
      <c r="Y30" s="172"/>
      <c r="Z30" s="172"/>
      <c r="AA30" s="172"/>
      <c r="AB30" s="172"/>
      <c r="AC30" s="172"/>
      <c r="AD30" s="172"/>
      <c r="AE30" s="172"/>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row>
    <row r="31" spans="1:61" s="150" customFormat="1" ht="29.25" customHeight="1" x14ac:dyDescent="0.2">
      <c r="A31" s="213"/>
      <c r="B31" s="214"/>
      <c r="C31" s="213"/>
      <c r="D31" s="215"/>
      <c r="E31" s="151"/>
      <c r="F31" s="151"/>
      <c r="G31" s="151"/>
      <c r="H31" s="151"/>
      <c r="I31" s="151"/>
      <c r="J31" s="151"/>
      <c r="K31" s="323"/>
      <c r="L31" s="152"/>
      <c r="M31" s="152"/>
      <c r="N31" s="152"/>
      <c r="O31" s="152"/>
      <c r="P31" s="152"/>
      <c r="Q31" s="152"/>
      <c r="R31" s="152"/>
      <c r="S31" s="152"/>
      <c r="T31" s="152"/>
    </row>
    <row r="32" spans="1:61" s="216" customFormat="1" ht="35.25" customHeight="1" x14ac:dyDescent="0.25">
      <c r="B32" s="217"/>
      <c r="C32" s="217"/>
      <c r="D32" s="217"/>
      <c r="E32" s="217"/>
      <c r="F32" s="217"/>
      <c r="G32" s="217"/>
      <c r="H32" s="217"/>
      <c r="I32" s="217"/>
      <c r="J32" s="217"/>
      <c r="K32" s="217"/>
      <c r="L32" s="218"/>
    </row>
    <row r="33" spans="1:13" s="229" customFormat="1" ht="18.75" customHeight="1" x14ac:dyDescent="0.25">
      <c r="B33" s="300"/>
      <c r="C33" s="300"/>
      <c r="D33" s="300"/>
      <c r="E33" s="300"/>
      <c r="F33" s="300"/>
      <c r="G33" s="300"/>
      <c r="H33" s="300"/>
      <c r="I33" s="300"/>
      <c r="J33" s="300"/>
      <c r="K33" s="300"/>
      <c r="L33" s="301"/>
    </row>
    <row r="34" spans="1:13" s="302" customFormat="1" ht="20.25" customHeight="1" x14ac:dyDescent="0.25">
      <c r="B34" s="303"/>
      <c r="C34" s="304"/>
      <c r="D34" s="305"/>
      <c r="E34" s="305"/>
      <c r="F34" s="305"/>
      <c r="G34" s="305"/>
      <c r="H34" s="305"/>
      <c r="I34" s="305"/>
      <c r="J34" s="304"/>
      <c r="K34" s="306"/>
    </row>
    <row r="35" spans="1:13" s="307" customFormat="1" ht="15.75" customHeight="1" x14ac:dyDescent="0.25">
      <c r="B35" s="308"/>
      <c r="C35" s="308"/>
      <c r="D35" s="308"/>
      <c r="E35" s="308"/>
      <c r="F35" s="308"/>
      <c r="G35" s="308"/>
      <c r="H35" s="308"/>
      <c r="I35" s="308"/>
      <c r="J35" s="308"/>
      <c r="K35" s="309"/>
    </row>
    <row r="36" spans="1:13" s="310" customFormat="1" x14ac:dyDescent="0.2"/>
    <row r="37" spans="1:13" s="316" customFormat="1" ht="17.25" customHeight="1" x14ac:dyDescent="0.2">
      <c r="A37" s="311" t="s">
        <v>661</v>
      </c>
      <c r="B37" s="312" t="s">
        <v>662</v>
      </c>
      <c r="C37" s="313"/>
      <c r="D37" s="313"/>
      <c r="E37" s="313"/>
      <c r="F37" s="313"/>
      <c r="G37" s="313"/>
      <c r="H37" s="313"/>
      <c r="I37" s="313"/>
      <c r="J37" s="313"/>
      <c r="K37" s="313"/>
      <c r="L37" s="314"/>
      <c r="M37" s="315"/>
    </row>
    <row r="38" spans="1:13" s="316" customFormat="1" ht="15" x14ac:dyDescent="0.2">
      <c r="A38" s="317">
        <f>IF(applications!B12="x",1,0)</f>
        <v>0</v>
      </c>
      <c r="B38" s="317">
        <f>IF(B10="Marke noch nicht benannt",0,IF(D12="OK",1,10))</f>
        <v>0</v>
      </c>
      <c r="C38" s="318">
        <f>IF(A38=0,IF($B$40&lt;3,IF($B$40&gt;0,100,0),0),0)</f>
        <v>0</v>
      </c>
      <c r="D38" s="319"/>
      <c r="E38" s="319"/>
      <c r="F38" s="319"/>
      <c r="G38" s="319"/>
      <c r="H38" s="319"/>
      <c r="I38" s="319"/>
      <c r="J38" s="319"/>
      <c r="K38" s="319"/>
      <c r="L38" s="320"/>
      <c r="M38" s="321"/>
    </row>
    <row r="39" spans="1:13" s="316" customFormat="1" x14ac:dyDescent="0.2">
      <c r="A39" s="316">
        <f>IF(applications!C12="x",1,0)</f>
        <v>0</v>
      </c>
      <c r="B39" s="316">
        <f>IF(B21="Marke noch nicht benannt",0,IF(D23="OK",1,10))</f>
        <v>0</v>
      </c>
      <c r="C39" s="318">
        <f>IF(A39=0,IF($B$40&lt;3,IF($B$40&gt;0,100,0),0),0)</f>
        <v>0</v>
      </c>
    </row>
    <row r="40" spans="1:13" s="316" customFormat="1" x14ac:dyDescent="0.2">
      <c r="A40" s="316">
        <f>SUM(A38:A39)</f>
        <v>0</v>
      </c>
      <c r="B40" s="316">
        <f>SUM(B38:B39)</f>
        <v>0</v>
      </c>
      <c r="C40" s="322"/>
    </row>
    <row r="41" spans="1:13" s="316" customFormat="1" x14ac:dyDescent="0.2">
      <c r="C41" s="322" t="e">
        <f>'company data_de'!$D$27+'contact persons_de'!$F$44+applications!$K$34</f>
        <v>#VALUE!</v>
      </c>
    </row>
    <row r="42" spans="1:13" s="316" customFormat="1" x14ac:dyDescent="0.2"/>
    <row r="43" spans="1:13" s="316" customFormat="1" x14ac:dyDescent="0.2"/>
    <row r="44" spans="1:13" s="316" customFormat="1" x14ac:dyDescent="0.2"/>
    <row r="45" spans="1:13" s="316" customFormat="1" x14ac:dyDescent="0.2"/>
    <row r="46" spans="1:13" s="316" customFormat="1" x14ac:dyDescent="0.2"/>
    <row r="47" spans="1:13" s="316" customFormat="1" x14ac:dyDescent="0.2"/>
    <row r="48" spans="1:13" s="316" customFormat="1" x14ac:dyDescent="0.2"/>
    <row r="49" s="316" customFormat="1" x14ac:dyDescent="0.2"/>
    <row r="50" s="316" customFormat="1" x14ac:dyDescent="0.2"/>
    <row r="51" s="316" customFormat="1" x14ac:dyDescent="0.2"/>
    <row r="52" s="316" customFormat="1" x14ac:dyDescent="0.2"/>
    <row r="53" s="316" customFormat="1" x14ac:dyDescent="0.2"/>
    <row r="54" s="316" customFormat="1" x14ac:dyDescent="0.2"/>
    <row r="55" s="316" customFormat="1" x14ac:dyDescent="0.2"/>
    <row r="56" s="316" customFormat="1" x14ac:dyDescent="0.2"/>
    <row r="57" s="316" customFormat="1" x14ac:dyDescent="0.2"/>
    <row r="58" s="316" customFormat="1" x14ac:dyDescent="0.2"/>
    <row r="59" s="316" customFormat="1" x14ac:dyDescent="0.2"/>
  </sheetData>
  <sheetProtection formatCells="0"/>
  <mergeCells count="3">
    <mergeCell ref="A6:J6"/>
    <mergeCell ref="D10:P10"/>
    <mergeCell ref="D21:P21"/>
  </mergeCells>
  <conditionalFormatting sqref="D12:D13">
    <cfRule type="containsText" dxfId="136" priority="49" operator="containsText" text="unvollständig">
      <formula>NOT(ISERROR(SEARCH("unvollständig",D12)))</formula>
    </cfRule>
    <cfRule type="containsText" dxfId="135" priority="50" operator="containsText" text="OK">
      <formula>NOT(ISERROR(SEARCH("OK",D12)))</formula>
    </cfRule>
  </conditionalFormatting>
  <conditionalFormatting sqref="B9">
    <cfRule type="containsText" dxfId="134" priority="36" operator="containsText" text="Applikationsauswahl noch offen - zurück und Daten vervollständigen">
      <formula>NOT(ISERROR(SEARCH("Applikationsauswahl noch offen - zurück und Daten vervollständigen",B9)))</formula>
    </cfRule>
  </conditionalFormatting>
  <conditionalFormatting sqref="C38:C39">
    <cfRule type="containsText" dxfId="133" priority="32" operator="containsText" text="Steckbrief vollständig -  Zusammenfassung prüfen und Dokument an csn.service@o-s.de senden">
      <formula>NOT(ISERROR(SEARCH("Steckbrief vollständig -  Zusammenfassung prüfen und Dokument an csn.service@o-s.de senden",C38)))</formula>
    </cfRule>
  </conditionalFormatting>
  <conditionalFormatting sqref="C3 A37">
    <cfRule type="containsText" dxfId="132" priority="29" operator="containsText" text="vorherige Seiten des Steckbriefs unvollständig - alle Tabellenblätter prüfen und ergänzen">
      <formula>NOT(ISERROR(SEARCH("vorherige Seiten des Steckbriefs unvollständig - alle Tabellenblätter prüfen und ergänzen",A3)))</formula>
    </cfRule>
  </conditionalFormatting>
  <conditionalFormatting sqref="C2">
    <cfRule type="containsText" dxfId="131" priority="26" operator="containsText" text="Steckbrief vollständig-Zusammenfassung prüfen, speichern und an csn.service@o-s.de senden">
      <formula>NOT(ISERROR(SEARCH("Steckbrief vollständig-Zusammenfassung prüfen, speichern und an csn.service@o-s.de senden",C2)))</formula>
    </cfRule>
  </conditionalFormatting>
  <conditionalFormatting sqref="N5 B32:K32">
    <cfRule type="expression" dxfId="130" priority="63">
      <formula>$N$5="Applikation CONNECT wurde ausgewählt, Befüllung Zusatz-Tabellenblatt nicht vergessen"</formula>
    </cfRule>
  </conditionalFormatting>
  <conditionalFormatting sqref="B2">
    <cfRule type="cellIs" dxfId="129" priority="23" operator="equal">
      <formula>"Steckbrief vollständig - Zusammenfassung prüfen und Dokument an csn.service@o-s.de senden"</formula>
    </cfRule>
  </conditionalFormatting>
  <conditionalFormatting sqref="B33:K33">
    <cfRule type="expression" dxfId="128" priority="65">
      <formula>$C$3="Steckbrief unvollständig - alle Tabellenblätter prüfen und fehlende Daten nachtragen"</formula>
    </cfRule>
  </conditionalFormatting>
  <conditionalFormatting sqref="B35:K35">
    <cfRule type="expression" dxfId="127" priority="66">
      <formula>$C$2="Steckbrief vollständig - Zusammenfassung prüfen und Dokument an csn.service@o-s.de senden"</formula>
    </cfRule>
  </conditionalFormatting>
  <conditionalFormatting sqref="D2:O2">
    <cfRule type="expression" dxfId="126" priority="22">
      <formula>$C$2="Steckbrief vollständig-Zusammenfassung prüfen, speichern und an csn.service@o-s.de senden"</formula>
    </cfRule>
  </conditionalFormatting>
  <conditionalFormatting sqref="D3:O3">
    <cfRule type="expression" dxfId="125" priority="21">
      <formula>$C$3="vorherige Seiten des Steckbriefs unvollständig - alle Tabellenblätter prüfen und ergänzen"</formula>
    </cfRule>
  </conditionalFormatting>
  <conditionalFormatting sqref="B12">
    <cfRule type="notContainsText" dxfId="124" priority="12" operator="notContains" text="zunächst Marke auf Tabellenblatt Konzern-Applikationen auswählen">
      <formula>ISERROR(SEARCH("zunächst Marke auf Tabellenblatt Konzern-Applikationen auswählen",B12))</formula>
    </cfRule>
    <cfRule type="containsText" dxfId="123" priority="20" operator="containsText" text="zunächst Marke auf Tabellenblatt Konzern-Applikationen auswählen">
      <formula>NOT(ISERROR(SEARCH("zunächst Marke auf Tabellenblatt Konzern-Applikationen auswählen",B12)))</formula>
    </cfRule>
  </conditionalFormatting>
  <conditionalFormatting sqref="B23">
    <cfRule type="notContainsText" dxfId="122" priority="11" operator="notContains" text="zunächst Marke auf Tabellenblatt Konzern-Applikationen auswählen">
      <formula>ISERROR(SEARCH("zunächst Marke auf Tabellenblatt Konzern-Applikationen auswählen",B23))</formula>
    </cfRule>
    <cfRule type="containsText" dxfId="121" priority="17" operator="containsText" text="zunächst Marke auf Tabellenblatt Konzern-Applikationen auswählen">
      <formula>NOT(ISERROR(SEARCH("zunächst Marke auf Tabellenblatt Konzern-Applikationen auswählen",B23)))</formula>
    </cfRule>
  </conditionalFormatting>
  <conditionalFormatting sqref="B13:B19">
    <cfRule type="expression" dxfId="120" priority="6">
      <formula>$C$11="keine Applikation für die 1. Marke ausgewählt -&gt; zurück zur Auswahl"</formula>
    </cfRule>
    <cfRule type="expression" dxfId="119" priority="16">
      <formula>$B$12="zunächst Marke auf Tabellenblatt Konzern-Applikationen auswählen"</formula>
    </cfRule>
  </conditionalFormatting>
  <conditionalFormatting sqref="B24:B30">
    <cfRule type="expression" dxfId="118" priority="5">
      <formula>$C$22="keine Applikation für die 2. Marke ausgewählt -&gt; zurück zur Marken-/Applikationsauswahl"</formula>
    </cfRule>
    <cfRule type="expression" dxfId="117" priority="13">
      <formula>$B$23="zunächst Marke auf Tabellenblatt Konzern-Applikationen auswählen"</formula>
    </cfRule>
  </conditionalFormatting>
  <conditionalFormatting sqref="D23">
    <cfRule type="containsText" dxfId="116" priority="9" operator="containsText" text="unvollständig">
      <formula>NOT(ISERROR(SEARCH("unvollständig",D23)))</formula>
    </cfRule>
    <cfRule type="containsText" dxfId="115" priority="10" operator="containsText" text="OK">
      <formula>NOT(ISERROR(SEARCH("OK",D23)))</formula>
    </cfRule>
  </conditionalFormatting>
  <conditionalFormatting sqref="A12">
    <cfRule type="expression" dxfId="114" priority="3">
      <formula>$B$12&lt;&gt;"zunächst Marke auf Tabellenblatt Konzern-Applikationen auswählen"</formula>
    </cfRule>
    <cfRule type="expression" dxfId="113" priority="4">
      <formula>$B$12="zunächst Marke auf Tabellenblatt Konzern-Applikationen auswählen"</formula>
    </cfRule>
  </conditionalFormatting>
  <conditionalFormatting sqref="A23">
    <cfRule type="expression" dxfId="112" priority="1">
      <formula>$B$23&lt;&gt;"zunächst Marke auf Tabellenblatt Konzern-Applikationen auswählen"</formula>
    </cfRule>
    <cfRule type="expression" dxfId="111" priority="2">
      <formula>$B$23="zunächst Marke auf Tabellenblatt Konzern-Applikationen auswählen"</formula>
    </cfRule>
  </conditionalFormatting>
  <dataValidations count="1">
    <dataValidation allowBlank="1" showInputMessage="1" showErrorMessage="1" error="Bitte Auswahl nutzen !" prompt="Nutzen Sie die Auswahl" sqref="B12 B23" xr:uid="{00000000-0002-0000-0500-000000000000}"/>
  </dataValidations>
  <pageMargins left="0.48" right="0.4" top="0.28000000000000003" bottom="0.2" header="0.2" footer="0.2"/>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Bitte Auswahl nutzen !" prompt="Nutzen Sie die Auswahl" xr:uid="{00000000-0002-0000-0500-000001000000}">
          <x14:formula1>
            <xm:f>Tabelle1!$B$2:$B$5</xm:f>
          </x14:formula1>
          <xm:sqref>B24 B13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1:L37"/>
  <sheetViews>
    <sheetView showGridLines="0" topLeftCell="E1" zoomScaleNormal="100" workbookViewId="0">
      <selection activeCell="D1" sqref="A1:D1048576"/>
    </sheetView>
  </sheetViews>
  <sheetFormatPr baseColWidth="10" defaultColWidth="11.42578125" defaultRowHeight="15" x14ac:dyDescent="0.25"/>
  <cols>
    <col min="1" max="1" width="58.5703125" style="380" hidden="1" customWidth="1"/>
    <col min="2" max="2" width="92.85546875" style="380" hidden="1" customWidth="1"/>
    <col min="3" max="3" width="8.7109375" style="380" hidden="1" customWidth="1"/>
    <col min="4" max="4" width="0" style="380" hidden="1" customWidth="1"/>
    <col min="5" max="6" width="11.42578125" style="378"/>
    <col min="7" max="7" width="16.28515625" style="378" customWidth="1"/>
    <col min="8" max="8" width="22" style="378" customWidth="1"/>
    <col min="9" max="12" width="11.42578125" style="378"/>
    <col min="13" max="16384" width="11.42578125" style="380"/>
  </cols>
  <sheetData>
    <row r="1" spans="1:12" x14ac:dyDescent="0.25">
      <c r="A1" s="651"/>
      <c r="B1" s="651"/>
      <c r="C1" s="652"/>
      <c r="E1" s="794" t="s">
        <v>1033</v>
      </c>
    </row>
    <row r="2" spans="1:12" x14ac:dyDescent="0.25">
      <c r="A2" s="651"/>
      <c r="B2" s="653" t="str">
        <f>IF(E25=12,IF('contact persons VW Group'!D69&gt;299,IF('contact persons VW Group'!C71="vollständig","checklist complete - check summary and send the form to csn.service@o-s.de",""),""),IF(A25=0,"","Fill in further details for application CONNECT"))</f>
        <v/>
      </c>
      <c r="C2" s="652"/>
      <c r="E2" s="793" t="s">
        <v>1034</v>
      </c>
    </row>
    <row r="3" spans="1:12" x14ac:dyDescent="0.25">
      <c r="A3" s="651"/>
      <c r="B3" s="654" t="str">
        <f>IF('contact persons VW Group'!C71="vollständig","","Please complete the contact persons at sheet -contact persons VW Group-")</f>
        <v>Please complete the contact persons at sheet -contact persons VW Group-</v>
      </c>
      <c r="C3" s="652"/>
    </row>
    <row r="4" spans="1:12" ht="25.5" customHeight="1" x14ac:dyDescent="0.25">
      <c r="B4" s="655"/>
      <c r="C4" s="603"/>
    </row>
    <row r="5" spans="1:12" ht="53.25" customHeight="1" x14ac:dyDescent="0.25">
      <c r="A5" s="1053" t="s">
        <v>964</v>
      </c>
      <c r="B5" s="1054"/>
      <c r="C5" s="603"/>
    </row>
    <row r="6" spans="1:12" ht="32.25" customHeight="1" x14ac:dyDescent="0.25">
      <c r="A6" s="656" t="s">
        <v>850</v>
      </c>
      <c r="B6" s="382" t="str">
        <f>IF(H8=0,IF(H9=0,"CAUTION: Filling is only necessary for application CONNECT. CONNECT isn´t selected at spreadsheet -applications",""),"")</f>
        <v>CAUTION: Filling is only necessary for application CONNECT. CONNECT isn´t selected at spreadsheet -applications</v>
      </c>
      <c r="C6" s="657"/>
      <c r="D6" s="658"/>
      <c r="E6" s="454"/>
      <c r="F6" s="454"/>
      <c r="G6" s="454"/>
    </row>
    <row r="7" spans="1:12" s="660" customFormat="1" ht="21" customHeight="1" x14ac:dyDescent="0.25">
      <c r="A7" s="659" t="s">
        <v>851</v>
      </c>
      <c r="B7" s="693"/>
      <c r="C7" s="374" t="str">
        <f>IF(B7="",IF($A$25=1,"entry mandatory",""),"")</f>
        <v/>
      </c>
      <c r="E7" s="455" t="str">
        <f>IF($A$25=0,"",IF(B7&lt;&gt;"",1,0))</f>
        <v/>
      </c>
      <c r="F7" s="455"/>
      <c r="G7" s="455" t="s">
        <v>867</v>
      </c>
      <c r="H7" s="455"/>
      <c r="I7" s="455"/>
      <c r="J7" s="455"/>
      <c r="K7" s="455"/>
      <c r="L7" s="455"/>
    </row>
    <row r="8" spans="1:12" s="660" customFormat="1" ht="16.5" customHeight="1" x14ac:dyDescent="0.25">
      <c r="A8" s="661" t="s">
        <v>852</v>
      </c>
      <c r="B8" s="371" t="str">
        <f>IF(A30=1,applications!C6,IF('add on application CONNECT'!A30=2,applications!C6&amp;" / "&amp;applications!C7,IF('add on application CONNECT'!A30=3,applications!C7,"")))</f>
        <v/>
      </c>
      <c r="C8" s="374" t="str">
        <f>IF(B8="",IF($A$25=1,"entry mandatory",""),"")</f>
        <v/>
      </c>
      <c r="E8" s="455" t="str">
        <f t="shared" ref="E8:E12" si="0">IF($A$25=0,"",IF(B8&lt;&gt;"",1,0))</f>
        <v/>
      </c>
      <c r="F8" s="455"/>
      <c r="G8" s="455" t="s">
        <v>868</v>
      </c>
      <c r="H8" s="662">
        <f>IF('contact persons VW Group'!B66=0,0,1)</f>
        <v>0</v>
      </c>
      <c r="I8" s="455" t="s">
        <v>870</v>
      </c>
      <c r="J8" s="455" t="s">
        <v>873</v>
      </c>
      <c r="K8" s="455">
        <f>H8+H9</f>
        <v>0</v>
      </c>
      <c r="L8" s="455"/>
    </row>
    <row r="9" spans="1:12" s="660" customFormat="1" ht="22.5" customHeight="1" x14ac:dyDescent="0.25">
      <c r="A9" s="661" t="s">
        <v>853</v>
      </c>
      <c r="B9" s="694"/>
      <c r="C9" s="374" t="str">
        <f>IF(B9="",IF($A$25=1,"entry mandatory",""),"")</f>
        <v/>
      </c>
      <c r="E9" s="455" t="str">
        <f t="shared" si="0"/>
        <v/>
      </c>
      <c r="F9" s="455"/>
      <c r="G9" s="455" t="s">
        <v>869</v>
      </c>
      <c r="H9" s="662">
        <f>IF('contact persons VW Group'!B67=0,0,1)</f>
        <v>0</v>
      </c>
      <c r="I9" s="455" t="s">
        <v>870</v>
      </c>
      <c r="J9" s="455"/>
      <c r="K9" s="455"/>
      <c r="L9" s="455"/>
    </row>
    <row r="10" spans="1:12" s="660" customFormat="1" ht="15" customHeight="1" x14ac:dyDescent="0.25">
      <c r="A10" s="661" t="s">
        <v>854</v>
      </c>
      <c r="B10" s="705"/>
      <c r="C10" s="374" t="str">
        <f>IF(B10="",IF($A$25=1,"entry mandatory",""),"")</f>
        <v/>
      </c>
      <c r="E10" s="455" t="str">
        <f t="shared" si="0"/>
        <v/>
      </c>
      <c r="F10" s="455"/>
      <c r="G10" s="455" t="s">
        <v>871</v>
      </c>
      <c r="H10" s="662">
        <f>IF(H8=1,IF('contact persons VW Group'!K12=0,10,1),0)</f>
        <v>0</v>
      </c>
      <c r="I10" s="455" t="s">
        <v>874</v>
      </c>
      <c r="J10" s="455" t="s">
        <v>873</v>
      </c>
      <c r="K10" s="455">
        <f>H10+H11</f>
        <v>0</v>
      </c>
      <c r="L10" s="455"/>
    </row>
    <row r="11" spans="1:12" s="660" customFormat="1" ht="16.5" customHeight="1" x14ac:dyDescent="0.25">
      <c r="A11" s="661" t="s">
        <v>855</v>
      </c>
      <c r="B11" s="567"/>
      <c r="C11" s="374" t="str">
        <f>IF(B11="",IF(B10="yes","entry mandatory",""),"")</f>
        <v/>
      </c>
      <c r="E11" s="455" t="str">
        <f>IF($A$25=0,"",IF(B10="no",1,IF(B11="",0,1)))</f>
        <v/>
      </c>
      <c r="F11" s="455"/>
      <c r="G11" s="455" t="s">
        <v>872</v>
      </c>
      <c r="H11" s="662">
        <f>IF(H9=1,IF('contact persons VW Group'!K35=0,10,1),0)</f>
        <v>0</v>
      </c>
      <c r="I11" s="455" t="s">
        <v>874</v>
      </c>
      <c r="J11" s="455"/>
      <c r="K11" s="455"/>
      <c r="L11" s="455"/>
    </row>
    <row r="12" spans="1:12" s="660" customFormat="1" ht="17.25" customHeight="1" x14ac:dyDescent="0.25">
      <c r="A12" s="663" t="s">
        <v>856</v>
      </c>
      <c r="B12" s="695"/>
      <c r="C12" s="374" t="str">
        <f>IF(B12="",IF($A$25=1,"entry mandatory",""),"")</f>
        <v/>
      </c>
      <c r="E12" s="455" t="str">
        <f t="shared" si="0"/>
        <v/>
      </c>
      <c r="F12" s="455"/>
      <c r="G12" s="455"/>
      <c r="H12" s="455"/>
      <c r="I12" s="455"/>
      <c r="J12" s="455"/>
      <c r="K12" s="455"/>
      <c r="L12" s="455"/>
    </row>
    <row r="13" spans="1:12" s="660" customFormat="1" ht="30" customHeight="1" x14ac:dyDescent="0.25">
      <c r="A13" s="664" t="s">
        <v>857</v>
      </c>
      <c r="B13" s="568"/>
      <c r="C13" s="374" t="str">
        <f>IF(B13="",IF(B12="yes","entry mandatory",""),"")</f>
        <v/>
      </c>
      <c r="E13" s="455" t="str">
        <f>IF($A$25=0,"",IF(B12="no",1,IF(B13="",0,1)))</f>
        <v/>
      </c>
      <c r="F13" s="455"/>
      <c r="G13" s="455"/>
      <c r="H13" s="455"/>
      <c r="I13" s="455"/>
      <c r="J13" s="455"/>
      <c r="K13" s="455"/>
      <c r="L13" s="455"/>
    </row>
    <row r="14" spans="1:12" ht="9.75" customHeight="1" x14ac:dyDescent="0.25">
      <c r="A14" s="665"/>
      <c r="B14" s="381"/>
      <c r="C14" s="375"/>
    </row>
    <row r="15" spans="1:12" ht="31.5" customHeight="1" x14ac:dyDescent="0.25">
      <c r="A15" s="656" t="s">
        <v>866</v>
      </c>
      <c r="B15" s="382" t="str">
        <f>IF('contact persons VW Group'!B66=0,IF('contact persons VW Group'!B67=0,"CAUTION: Filling is only necessary for application CONNECT. CONNECT isn´t selected at spreadsheet -applications",""),"")</f>
        <v>CAUTION: Filling is only necessary for application CONNECT. CONNECT isn´t selected at spreadsheet -applications</v>
      </c>
      <c r="C15" s="376"/>
    </row>
    <row r="16" spans="1:12" s="660" customFormat="1" ht="27" customHeight="1" x14ac:dyDescent="0.25">
      <c r="A16" s="659" t="s">
        <v>858</v>
      </c>
      <c r="B16" s="696"/>
      <c r="C16" s="374" t="str">
        <f>IF(B16="",IF($A$25=1,"entry mandatory",""),"")</f>
        <v/>
      </c>
      <c r="E16" s="455" t="str">
        <f t="shared" ref="E16:E20" si="1">IF($A$25=0,"",IF(B16&lt;&gt;"",1,0))</f>
        <v/>
      </c>
      <c r="F16" s="455"/>
      <c r="G16" s="455"/>
      <c r="H16" s="455"/>
      <c r="I16" s="455"/>
      <c r="J16" s="455"/>
      <c r="K16" s="455"/>
      <c r="L16" s="455"/>
    </row>
    <row r="17" spans="1:12" s="660" customFormat="1" ht="27" customHeight="1" x14ac:dyDescent="0.25">
      <c r="A17" s="663" t="s">
        <v>859</v>
      </c>
      <c r="B17" s="694"/>
      <c r="C17" s="374" t="str">
        <f>IF(B17="",IF($A$25=1,"entry mandatory",""),"")</f>
        <v/>
      </c>
      <c r="E17" s="455" t="str">
        <f t="shared" si="1"/>
        <v/>
      </c>
      <c r="F17" s="455"/>
      <c r="G17" s="455"/>
      <c r="H17" s="455"/>
      <c r="I17" s="455"/>
      <c r="J17" s="455"/>
      <c r="K17" s="455"/>
      <c r="L17" s="455"/>
    </row>
    <row r="18" spans="1:12" s="660" customFormat="1" ht="17.25" customHeight="1" x14ac:dyDescent="0.25">
      <c r="A18" s="663" t="s">
        <v>860</v>
      </c>
      <c r="B18" s="694"/>
      <c r="C18" s="374" t="str">
        <f>IF(B18="",IF($A$25=1,"entry mandatory",""),"")</f>
        <v/>
      </c>
      <c r="E18" s="455" t="str">
        <f t="shared" si="1"/>
        <v/>
      </c>
      <c r="F18" s="455"/>
      <c r="G18" s="455"/>
      <c r="H18" s="455"/>
      <c r="I18" s="455"/>
      <c r="J18" s="455"/>
      <c r="K18" s="455"/>
      <c r="L18" s="455"/>
    </row>
    <row r="19" spans="1:12" s="660" customFormat="1" ht="17.25" customHeight="1" x14ac:dyDescent="0.25">
      <c r="A19" s="661" t="s">
        <v>861</v>
      </c>
      <c r="B19" s="414"/>
      <c r="C19" s="374" t="str">
        <f>IF(B19="",IF($A$25=1,"entry mandatory",""),"")</f>
        <v/>
      </c>
      <c r="E19" s="455" t="str">
        <f t="shared" si="1"/>
        <v/>
      </c>
      <c r="F19" s="455"/>
      <c r="G19" s="455"/>
      <c r="H19" s="455"/>
      <c r="I19" s="455"/>
      <c r="J19" s="455"/>
      <c r="K19" s="455"/>
      <c r="L19" s="455"/>
    </row>
    <row r="20" spans="1:12" s="660" customFormat="1" ht="27" customHeight="1" x14ac:dyDescent="0.25">
      <c r="A20" s="663" t="s">
        <v>862</v>
      </c>
      <c r="B20" s="694"/>
      <c r="C20" s="374" t="str">
        <f>IF(B20="",IF($A$25=1,"entry mandatory",""),"")</f>
        <v/>
      </c>
      <c r="E20" s="455" t="str">
        <f t="shared" si="1"/>
        <v/>
      </c>
      <c r="F20" s="455"/>
      <c r="G20" s="455"/>
      <c r="H20" s="455"/>
      <c r="I20" s="455"/>
      <c r="J20" s="455"/>
      <c r="K20" s="455"/>
      <c r="L20" s="455"/>
    </row>
    <row r="21" spans="1:12" s="660" customFormat="1" ht="27" customHeight="1" x14ac:dyDescent="0.25">
      <c r="A21" s="663" t="s">
        <v>863</v>
      </c>
      <c r="B21" s="566"/>
      <c r="C21" s="377" t="str">
        <f>IF(B21="",IF($A$25=1,"entry requested",""),"")</f>
        <v/>
      </c>
      <c r="E21" s="455"/>
      <c r="F21" s="455"/>
      <c r="G21" s="455"/>
      <c r="H21" s="455"/>
      <c r="I21" s="455"/>
      <c r="J21" s="455"/>
      <c r="K21" s="455"/>
      <c r="L21" s="455"/>
    </row>
    <row r="22" spans="1:12" s="660" customFormat="1" ht="27" customHeight="1" x14ac:dyDescent="0.25">
      <c r="A22" s="663" t="s">
        <v>864</v>
      </c>
      <c r="B22" s="566"/>
      <c r="C22" s="377" t="str">
        <f>IF(B22="",IF($A$25=1,"entry requested",""),"")</f>
        <v/>
      </c>
      <c r="E22" s="455"/>
      <c r="F22" s="455"/>
      <c r="G22" s="455"/>
      <c r="H22" s="455"/>
      <c r="I22" s="455"/>
      <c r="J22" s="455"/>
      <c r="K22" s="455"/>
      <c r="L22" s="455"/>
    </row>
    <row r="23" spans="1:12" s="660" customFormat="1" ht="27" customHeight="1" x14ac:dyDescent="0.25">
      <c r="A23" s="664" t="s">
        <v>865</v>
      </c>
      <c r="B23" s="569"/>
      <c r="C23" s="377" t="str">
        <f>IF(B23="",IF($A$25=1,"entry requested",""),"")</f>
        <v/>
      </c>
      <c r="E23" s="455"/>
      <c r="F23" s="455"/>
      <c r="G23" s="455"/>
      <c r="H23" s="455"/>
      <c r="I23" s="455"/>
      <c r="J23" s="455"/>
      <c r="K23" s="455"/>
      <c r="L23" s="455"/>
    </row>
    <row r="24" spans="1:12" s="378" customFormat="1" x14ac:dyDescent="0.25">
      <c r="A24" s="666"/>
      <c r="B24" s="383"/>
    </row>
    <row r="25" spans="1:12" s="379" customFormat="1" x14ac:dyDescent="0.25">
      <c r="A25" s="385">
        <f>IF(applications!B12="x",1,IF(applications!C12="x",1,0))</f>
        <v>0</v>
      </c>
      <c r="B25" s="378" t="s">
        <v>781</v>
      </c>
      <c r="E25" s="378">
        <f>SUM(E7:E20)</f>
        <v>0</v>
      </c>
      <c r="F25" s="378"/>
      <c r="G25" s="378"/>
      <c r="H25" s="378"/>
      <c r="I25" s="378"/>
      <c r="J25" s="378"/>
      <c r="K25" s="378"/>
      <c r="L25" s="378"/>
    </row>
    <row r="26" spans="1:12" s="379" customFormat="1" x14ac:dyDescent="0.25">
      <c r="A26" s="385"/>
      <c r="B26" s="378"/>
      <c r="E26" s="378"/>
      <c r="F26" s="378"/>
      <c r="G26" s="378"/>
      <c r="H26" s="378"/>
      <c r="I26" s="378"/>
      <c r="J26" s="378"/>
      <c r="K26" s="378"/>
      <c r="L26" s="378"/>
    </row>
    <row r="27" spans="1:12" s="379" customFormat="1" x14ac:dyDescent="0.25">
      <c r="A27" s="384">
        <f>COUNTBLANK(B7:B13)</f>
        <v>7</v>
      </c>
      <c r="B27" s="378" t="s">
        <v>783</v>
      </c>
      <c r="E27" s="378"/>
      <c r="F27" s="378"/>
      <c r="G27" s="378"/>
      <c r="H27" s="378"/>
      <c r="I27" s="378"/>
      <c r="J27" s="378"/>
      <c r="K27" s="378"/>
      <c r="L27" s="378"/>
    </row>
    <row r="28" spans="1:12" s="379" customFormat="1" x14ac:dyDescent="0.25">
      <c r="A28" s="384">
        <f>COUNTBLANK(B16:B23)</f>
        <v>8</v>
      </c>
      <c r="B28" s="378" t="s">
        <v>782</v>
      </c>
      <c r="E28" s="378"/>
      <c r="F28" s="378"/>
      <c r="G28" s="378"/>
      <c r="H28" s="378"/>
      <c r="I28" s="378"/>
      <c r="J28" s="378"/>
      <c r="K28" s="378"/>
      <c r="L28" s="378"/>
    </row>
    <row r="29" spans="1:12" s="379" customFormat="1" x14ac:dyDescent="0.25">
      <c r="A29" s="378"/>
      <c r="B29" s="378"/>
      <c r="E29" s="378"/>
      <c r="F29" s="378"/>
      <c r="G29" s="378"/>
      <c r="H29" s="378"/>
      <c r="I29" s="378"/>
      <c r="J29" s="378"/>
      <c r="K29" s="378"/>
      <c r="L29" s="378"/>
    </row>
    <row r="30" spans="1:12" s="379" customFormat="1" x14ac:dyDescent="0.25">
      <c r="A30" s="378">
        <f>IF(COUNTBLANK(applications!B12:C12)=0,2,IF(COUNTBLANK(applications!B12:C12)=2,0,IF(applications!B12="x",1,3)))</f>
        <v>0</v>
      </c>
      <c r="B30" s="378"/>
      <c r="E30" s="378"/>
      <c r="F30" s="378"/>
      <c r="G30" s="378"/>
      <c r="H30" s="378"/>
      <c r="I30" s="378"/>
      <c r="J30" s="378"/>
      <c r="K30" s="378"/>
      <c r="L30" s="378"/>
    </row>
    <row r="31" spans="1:12" s="379" customFormat="1" x14ac:dyDescent="0.25">
      <c r="A31" s="378"/>
      <c r="B31" s="378"/>
      <c r="E31" s="378"/>
      <c r="F31" s="378"/>
      <c r="G31" s="378"/>
      <c r="H31" s="378"/>
      <c r="I31" s="378"/>
      <c r="J31" s="378"/>
      <c r="K31" s="378"/>
      <c r="L31" s="378"/>
    </row>
    <row r="32" spans="1:12" s="378" customFormat="1" x14ac:dyDescent="0.25"/>
    <row r="33" spans="1:12" s="379" customFormat="1" x14ac:dyDescent="0.25">
      <c r="A33" s="378"/>
      <c r="B33" s="378"/>
      <c r="E33" s="378"/>
      <c r="F33" s="378"/>
      <c r="G33" s="378"/>
      <c r="H33" s="378"/>
      <c r="I33" s="378"/>
      <c r="J33" s="378"/>
      <c r="K33" s="378"/>
      <c r="L33" s="378"/>
    </row>
    <row r="34" spans="1:12" s="379" customFormat="1" x14ac:dyDescent="0.25">
      <c r="A34" s="378"/>
      <c r="B34" s="378"/>
      <c r="E34" s="378"/>
      <c r="F34" s="378"/>
      <c r="G34" s="378"/>
      <c r="H34" s="378"/>
      <c r="I34" s="378"/>
      <c r="J34" s="378"/>
      <c r="K34" s="378"/>
      <c r="L34" s="378"/>
    </row>
    <row r="35" spans="1:12" s="378" customFormat="1" x14ac:dyDescent="0.25"/>
    <row r="36" spans="1:12" s="379" customFormat="1" x14ac:dyDescent="0.25">
      <c r="E36" s="378"/>
      <c r="F36" s="378"/>
      <c r="G36" s="378"/>
      <c r="H36" s="378"/>
      <c r="I36" s="378"/>
      <c r="J36" s="378"/>
      <c r="K36" s="378"/>
      <c r="L36" s="378"/>
    </row>
    <row r="37" spans="1:12" s="379" customFormat="1" x14ac:dyDescent="0.25">
      <c r="E37" s="378"/>
      <c r="F37" s="378"/>
      <c r="G37" s="378"/>
      <c r="H37" s="378"/>
      <c r="I37" s="378"/>
      <c r="J37" s="378"/>
      <c r="K37" s="378"/>
      <c r="L37" s="378"/>
    </row>
  </sheetData>
  <sheetProtection formatCells="0"/>
  <mergeCells count="1">
    <mergeCell ref="A5:B5"/>
  </mergeCells>
  <conditionalFormatting sqref="B2">
    <cfRule type="cellIs" dxfId="110" priority="12" operator="equal">
      <formula>"Fill in further details for application CONNECT"</formula>
    </cfRule>
    <cfRule type="containsText" dxfId="109" priority="15" operator="containsText" text="Steckbrief vollständig - Zusammenfassung prüfen und Dokument an csn.service@o-s.de senden">
      <formula>NOT(ISERROR(SEARCH("Steckbrief vollständig - Zusammenfassung prüfen und Dokument an csn.service@o-s.de senden",B2)))</formula>
    </cfRule>
  </conditionalFormatting>
  <conditionalFormatting sqref="B6">
    <cfRule type="containsBlanks" dxfId="108" priority="9">
      <formula>LEN(TRIM(B6))=0</formula>
    </cfRule>
    <cfRule type="containsText" dxfId="107" priority="14" operator="containsText" text="CAUTION: Filling is only necessary for application CONNECT. CONNECT isn´t selected at spreadsheet -applications">
      <formula>NOT(ISERROR(SEARCH("CAUTION: Filling is only necessary for application CONNECT. CONNECT isn´t selected at spreadsheet -applications",B6)))</formula>
    </cfRule>
  </conditionalFormatting>
  <conditionalFormatting sqref="B3">
    <cfRule type="cellIs" dxfId="106" priority="11" operator="equal">
      <formula>"Please complete the contact persons at sheet -contact persons VW Group-"</formula>
    </cfRule>
  </conditionalFormatting>
  <conditionalFormatting sqref="B15">
    <cfRule type="containsBlanks" dxfId="105" priority="8">
      <formula>LEN(TRIM(B15))=0</formula>
    </cfRule>
    <cfRule type="containsText" dxfId="104" priority="10" operator="containsText" text="CAUTION: Filling is only necessary for application CONNECT. CONNECT isn´t selected at spreadsheet -applications">
      <formula>NOT(ISERROR(SEARCH("CAUTION: Filling is only necessary for application CONNECT. CONNECT isn´t selected at spreadsheet -applications",B15)))</formula>
    </cfRule>
  </conditionalFormatting>
  <dataValidations count="16">
    <dataValidation type="whole" allowBlank="1" showInputMessage="1" showErrorMessage="1" error="Eingabe auf Zahlen beschränkt" sqref="B19" xr:uid="{00000000-0002-0000-0600-000000000000}">
      <formula1>0</formula1>
      <formula2>1000</formula2>
    </dataValidation>
    <dataValidation allowBlank="1" showInputMessage="1" showErrorMessage="1" prompt="precise name of project" sqref="A7:B7" xr:uid="{00000000-0002-0000-0600-000001000000}"/>
    <dataValidation allowBlank="1" showInputMessage="1" showErrorMessage="1" prompt="Abteilung bzw. OE" sqref="A9" xr:uid="{00000000-0002-0000-0600-000002000000}"/>
    <dataValidation allowBlank="1" showInputMessage="1" showErrorMessage="1" prompt="activites resp. scope of construction" sqref="A16:B16" xr:uid="{00000000-0002-0000-0600-000003000000}"/>
    <dataValidation allowBlank="1" showInputMessage="1" showErrorMessage="1" prompt="Please name automotive projects, for example Auxxx, Plyy, etc._x000a_please use description of corporate group_x000a__x000a_" sqref="B17" xr:uid="{00000000-0002-0000-0600-000005000000}"/>
    <dataValidation allowBlank="1" showInputMessage="1" showErrorMessage="1" prompt="please name automotive projects, for example Auxxx, Plyy, etc._x000a_please use description of corporate group_x000a_" sqref="A17" xr:uid="{00000000-0002-0000-0600-000006000000}"/>
    <dataValidation allowBlank="1" showInputMessage="1" showErrorMessage="1" prompt="for example:_x000a_only for the named automotive projects, _x000a_exclusively for the scope of constructions" sqref="A18:B18" xr:uid="{00000000-0002-0000-0600-000007000000}"/>
    <dataValidation allowBlank="1" showInputMessage="1" showErrorMessage="1" prompt="for example every week, once a month, etc." sqref="A20:B20" xr:uid="{00000000-0002-0000-0600-000008000000}"/>
    <dataValidation allowBlank="1" showInputMessage="1" showErrorMessage="1" prompt="Which system is used and frequency of deliveries" sqref="B21" xr:uid="{00000000-0002-0000-0600-000009000000}"/>
    <dataValidation allowBlank="1" showInputMessage="1" showErrorMessage="1" prompt="short description of communication processes and frequency of communication" sqref="B22" xr:uid="{00000000-0002-0000-0600-00000A000000}"/>
    <dataValidation allowBlank="1" showInputMessage="1" showErrorMessage="1" prompt="advices to special circumstances (optional information)" sqref="A23:B23" xr:uid="{00000000-0002-0000-0600-00000B000000}"/>
    <dataValidation allowBlank="1" showInputMessage="1" showErrorMessage="1" prompt="data import from sheet &quot;application&quot;_x000a__x000a_for correction return to this sheet" sqref="B8" xr:uid="{00000000-0002-0000-0600-00000C000000}"/>
    <dataValidation allowBlank="1" showInputMessage="1" showErrorMessage="1" prompt="what system is used and frequency of deliveries" sqref="A21" xr:uid="{00000000-0002-0000-0600-000010000000}"/>
    <dataValidation allowBlank="1" showInputMessage="1" showErrorMessage="1" prompt="short description of communication types and frequency of communication" sqref="A22" xr:uid="{00000000-0002-0000-0600-000011000000}"/>
    <dataValidation allowBlank="1" showInputMessage="1" showErrorMessage="1" prompt="cooperating department of VW Group" sqref="B9" xr:uid="{00000000-0002-0000-0600-000013000000}"/>
    <dataValidation type="date" operator="greaterThan" allowBlank="1" showInputMessage="1" showErrorMessage="1" sqref="B11" xr:uid="{00000000-0002-0000-0600-000014000000}">
      <formula1>36526</formula1>
    </dataValidation>
  </dataValidations>
  <pageMargins left="0.51181102362204722" right="0.59055118110236227" top="0.42" bottom="0.43" header="0.31496062992125984" footer="0.31496062992125984"/>
  <pageSetup paperSize="9" scale="8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0D9E9461-7FD1-4E9A-8510-8F2098B4A5E4}">
            <xm:f>'contact persons VW Group'!$B$68=0</xm:f>
            <x14:dxf>
              <fill>
                <patternFill>
                  <bgColor theme="1" tint="0.24994659260841701"/>
                </patternFill>
              </fill>
            </x14:dxf>
          </x14:cfRule>
          <xm:sqref>B7:B13 B16:B23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15000000}">
          <x14:formula1>
            <xm:f>Stammdaten_de!$A$6:$A$7</xm:f>
          </x14:formula1>
          <xm:sqref>D12 F12:G12</xm:sqref>
        </x14:dataValidation>
        <x14:dataValidation type="list" allowBlank="1" showInputMessage="1" showErrorMessage="1" error="Please use selection list" prompt="Please use selection list" xr:uid="{00000000-0002-0000-0600-000016000000}">
          <x14:formula1>
            <xm:f>Stammdaten_de!$A$6:$A$7</xm:f>
          </x14:formula1>
          <xm:sqref>B12 B10</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410</vt:i4>
      </vt:variant>
    </vt:vector>
  </HeadingPairs>
  <TitlesOfParts>
    <vt:vector size="428" baseType="lpstr">
      <vt:lpstr>start</vt:lpstr>
      <vt:lpstr>company data</vt:lpstr>
      <vt:lpstr>contact persons</vt:lpstr>
      <vt:lpstr>applications</vt:lpstr>
      <vt:lpstr>contact persons VW Group</vt:lpstr>
      <vt:lpstr>add on data access locations</vt:lpstr>
      <vt:lpstr>status of TISAX assessment</vt:lpstr>
      <vt:lpstr>Konzern-Ansprechpartner_ALT</vt:lpstr>
      <vt:lpstr>add on application CONNECT</vt:lpstr>
      <vt:lpstr>TISAX information</vt:lpstr>
      <vt:lpstr>summary</vt:lpstr>
      <vt:lpstr>Tabelle1</vt:lpstr>
      <vt:lpstr>public.landessprache</vt:lpstr>
      <vt:lpstr>Hilfsblatt_Vertragsvorschau</vt:lpstr>
      <vt:lpstr>Stammdaten</vt:lpstr>
      <vt:lpstr>contact persons_de</vt:lpstr>
      <vt:lpstr>company data_de</vt:lpstr>
      <vt:lpstr>Stammdaten_de</vt:lpstr>
      <vt:lpstr>'contact persons'!AP_Mailing</vt:lpstr>
      <vt:lpstr>'contact persons'!AP_Rechnung</vt:lpstr>
      <vt:lpstr>'contact persons'!AP_Technik</vt:lpstr>
      <vt:lpstr>'contact persons'!AP_Vertrag</vt:lpstr>
      <vt:lpstr>Stammdaten!AP_Vertrag</vt:lpstr>
      <vt:lpstr>JITAudi_Nutzungsstandorte</vt:lpstr>
      <vt:lpstr>kopf_ansprechpartner_unternehmen</vt:lpstr>
      <vt:lpstr>kopf_konzernansprechpartner</vt:lpstr>
      <vt:lpstr>kopf_konzernapplikationen</vt:lpstr>
      <vt:lpstr>kopf_vertragsdaten</vt:lpstr>
      <vt:lpstr>kopf_vertragsvorschau</vt:lpstr>
      <vt:lpstr>kopf_zusammenfassung</vt:lpstr>
      <vt:lpstr>kopf_zusatzdatenconnect</vt:lpstr>
      <vt:lpstr>z_anzeige_kein_evoice</vt:lpstr>
      <vt:lpstr>z_applikationen_zusatzinfo</vt:lpstr>
      <vt:lpstr>z_aussage_weitere_datenaustauschorte</vt:lpstr>
      <vt:lpstr>z_bestandsänderung</vt:lpstr>
      <vt:lpstr>z_connect_abstimmen_interneap</vt:lpstr>
      <vt:lpstr>z_connect_anzahlmitarbeiter</vt:lpstr>
      <vt:lpstr>z_connect_datum_vertragunterzeichnet</vt:lpstr>
      <vt:lpstr>z_connect_fachbereich</vt:lpstr>
      <vt:lpstr>z_connect_fahrzeugprojekte_zusammenarbeit</vt:lpstr>
      <vt:lpstr>z_connect_frage_auftragunterzeichnet</vt:lpstr>
      <vt:lpstr>z_connect_frage_weitereprojekte</vt:lpstr>
      <vt:lpstr>z_connect_häufigkeit_zusammenarbeit</vt:lpstr>
      <vt:lpstr>z_connect_häufigkeitbauraum</vt:lpstr>
      <vt:lpstr>z_connect_inhaltzusammenarbeit</vt:lpstr>
      <vt:lpstr>z_connect_lieferung_zwischenstand</vt:lpstr>
      <vt:lpstr>z_connect_marke</vt:lpstr>
      <vt:lpstr>z_connect_projekt</vt:lpstr>
      <vt:lpstr>z_connect_weitereprojekte</vt:lpstr>
      <vt:lpstr>z_connect_zusatzhinweise</vt:lpstr>
      <vt:lpstr>z_duns_daten</vt:lpstr>
      <vt:lpstr>z_duns_technisch</vt:lpstr>
      <vt:lpstr>z_duns_vertrag</vt:lpstr>
      <vt:lpstr>z_emailpersunabhängig_rechnung</vt:lpstr>
      <vt:lpstr>z_fachkontakt_anrede</vt:lpstr>
      <vt:lpstr>z_fachkontakt_email</vt:lpstr>
      <vt:lpstr>z_fachkontakt_mobiltelefon</vt:lpstr>
      <vt:lpstr>z_fachkontakt_name</vt:lpstr>
      <vt:lpstr>z_fachkontakt_telefon</vt:lpstr>
      <vt:lpstr>z_fachkontakt_vorname</vt:lpstr>
      <vt:lpstr>z_firma_daten</vt:lpstr>
      <vt:lpstr>z_firma_rechnung</vt:lpstr>
      <vt:lpstr>z_firma_technisch</vt:lpstr>
      <vt:lpstr>z_firma_vertrag</vt:lpstr>
      <vt:lpstr>z_frage_andererstandort_daten</vt:lpstr>
      <vt:lpstr>z_frage_andererstandort_technisch</vt:lpstr>
      <vt:lpstr>z_frage_datenzugriff_vertragsnehmer</vt:lpstr>
      <vt:lpstr>z_kontakt_anrede_mailing</vt:lpstr>
      <vt:lpstr>z_kontakt_anrede_rechnung</vt:lpstr>
      <vt:lpstr>z_kontakt_anrede_technisch</vt:lpstr>
      <vt:lpstr>z_kontakt_anrede_vertrag</vt:lpstr>
      <vt:lpstr>z_kontakt_email_mailing</vt:lpstr>
      <vt:lpstr>z_kontakt_email_rechnung</vt:lpstr>
      <vt:lpstr>z_kontakt_email_technisch</vt:lpstr>
      <vt:lpstr>z_kontakt_email_vertrag</vt:lpstr>
      <vt:lpstr>z_kontakt_mobiltelefon_rechnung</vt:lpstr>
      <vt:lpstr>z_kontakt_mobiltelefon_technik</vt:lpstr>
      <vt:lpstr>z_kontakt_mobiltelefon_vertrag</vt:lpstr>
      <vt:lpstr>z_kontakt_name_mailing</vt:lpstr>
      <vt:lpstr>z_kontakt_name_rechnung</vt:lpstr>
      <vt:lpstr>z_kontakt_name_technisch</vt:lpstr>
      <vt:lpstr>z_kontakt_name_vertrag</vt:lpstr>
      <vt:lpstr>z_kontakt_telefon_mailing</vt:lpstr>
      <vt:lpstr>z_kontakt_telefon_rechnung</vt:lpstr>
      <vt:lpstr>z_kontakt_telefon_technisch</vt:lpstr>
      <vt:lpstr>z_kontakt_telefon_vertrag</vt:lpstr>
      <vt:lpstr>z_kontakt_vorname_mailing</vt:lpstr>
      <vt:lpstr>z_kontakt_vorname_rechnung</vt:lpstr>
      <vt:lpstr>z_kontakt_vorname_technisch</vt:lpstr>
      <vt:lpstr>z_kontakt_vorname_vertrag</vt:lpstr>
      <vt:lpstr>z_land_daten</vt:lpstr>
      <vt:lpstr>z_land_technisch</vt:lpstr>
      <vt:lpstr>z_land_vertrag</vt:lpstr>
      <vt:lpstr>Z_lieferant_eins</vt:lpstr>
      <vt:lpstr>z_lieferant_zwei</vt:lpstr>
      <vt:lpstr>z_markeeins_citrix</vt:lpstr>
      <vt:lpstr>z_markeeins_citrix_konzernap_abteilung</vt:lpstr>
      <vt:lpstr>z_markeeins_citrix_konzernap_anrede</vt:lpstr>
      <vt:lpstr>z_markeeins_citrix_konzernap_email</vt:lpstr>
      <vt:lpstr>z_markeeins_citrix_konzernap_name</vt:lpstr>
      <vt:lpstr>z_markeeins_citrix_konzernap_telefon</vt:lpstr>
      <vt:lpstr>z_markeeins_citrix_konzernap_vorname</vt:lpstr>
      <vt:lpstr>z_markeeins_citrix_verwendung</vt:lpstr>
      <vt:lpstr>z_markeeins_connect</vt:lpstr>
      <vt:lpstr>z_markeeins_connect_konzernap_abteilung</vt:lpstr>
      <vt:lpstr>z_markeeins_connect_konzernap_anrede</vt:lpstr>
      <vt:lpstr>z_markeeins_connect_konzernap_email</vt:lpstr>
      <vt:lpstr>z_markeeins_connect_konzernap_name</vt:lpstr>
      <vt:lpstr>z_markeeins_connect_konzernap_telefon</vt:lpstr>
      <vt:lpstr>z_markeeins_connect_konzernap_vorname</vt:lpstr>
      <vt:lpstr>z_markeeins_dmzlaufwerk</vt:lpstr>
      <vt:lpstr>z_markeeins_dmzlaufwerk_konzernap_abteilung</vt:lpstr>
      <vt:lpstr>z_markeeins_dmzlaufwerk_konzernap_anrede</vt:lpstr>
      <vt:lpstr>z_markeeins_dmzlaufwerk_konzernap_email</vt:lpstr>
      <vt:lpstr>z_markeeins_dmzlaufwerk_konzernap_name</vt:lpstr>
      <vt:lpstr>z_markeeins_dmzlaufwerk_konzernap_telefon</vt:lpstr>
      <vt:lpstr>z_markeeins_dmzlaufwerk_konzernap_vorname</vt:lpstr>
      <vt:lpstr>z_markeeins_eca</vt:lpstr>
      <vt:lpstr>z_markeeins_eca_konzernap_abteilung</vt:lpstr>
      <vt:lpstr>z_markeeins_eca_konzernap_anrede</vt:lpstr>
      <vt:lpstr>z_markeeins_eca_konzernap_email</vt:lpstr>
      <vt:lpstr>z_markeeins_eca_konzernap_name</vt:lpstr>
      <vt:lpstr>z_markeeins_eca_konzernap_telefon</vt:lpstr>
      <vt:lpstr>z_markeeins_eca_konzernap_vorname</vt:lpstr>
      <vt:lpstr>z_markeeins_edikommerzda</vt:lpstr>
      <vt:lpstr>z_markeeins_edikommerzda_konzernap_abteilung</vt:lpstr>
      <vt:lpstr>z_markeeins_edikommerzda_konzernap_anrede</vt:lpstr>
      <vt:lpstr>z_markeeins_edikommerzda_konzernap_email</vt:lpstr>
      <vt:lpstr>z_markeeins_edikommerzda_konzernap_name</vt:lpstr>
      <vt:lpstr>z_markeeins_edikommerzda_konzernap_telefon</vt:lpstr>
      <vt:lpstr>z_markeeins_edikommerzda_konzernap_vorname</vt:lpstr>
      <vt:lpstr>z_markeeins_frage_sonstservice</vt:lpstr>
      <vt:lpstr>z_markeeins_frage_sonstservice_konzernap_abteilung</vt:lpstr>
      <vt:lpstr>z_markeeins_frage_sonstservice_konzernap_anrede</vt:lpstr>
      <vt:lpstr>z_markeeins_frage_sonstservice_konzernap_email</vt:lpstr>
      <vt:lpstr>z_markeeins_frage_sonstservice_konzernap_name</vt:lpstr>
      <vt:lpstr>z_markeeins_frage_sonstservice_konzernap_telefon</vt:lpstr>
      <vt:lpstr>z_markeeins_frage_sonstservice_konzernap_vorname</vt:lpstr>
      <vt:lpstr>z_markeeins_jit</vt:lpstr>
      <vt:lpstr>z_markeeins_jit_audinutzungsstandort</vt:lpstr>
      <vt:lpstr>z_markeeins_jit_konzernap_abteilung</vt:lpstr>
      <vt:lpstr>z_markeeins_jit_konzernap_anrede</vt:lpstr>
      <vt:lpstr>z_markeeins_jit_konzernap_email</vt:lpstr>
      <vt:lpstr>z_markeeins_jit_konzernap_name</vt:lpstr>
      <vt:lpstr>z_markeeins_jit_konzernap_telefon</vt:lpstr>
      <vt:lpstr>z_markeeins_jit_konzernap_vorname</vt:lpstr>
      <vt:lpstr>z_markeeins_konzernap_audimynet</vt:lpstr>
      <vt:lpstr>z_markeeins_konzernap_citrix</vt:lpstr>
      <vt:lpstr>z_markeeins_konzernap_Connect</vt:lpstr>
      <vt:lpstr>z_markeeins_konzernap_dmzlaufwerk</vt:lpstr>
      <vt:lpstr>z_markeeins_konzernap_eca</vt:lpstr>
      <vt:lpstr>z_markeeins_konzernap_edi</vt:lpstr>
      <vt:lpstr>z_markeeins_konzernap_jti</vt:lpstr>
      <vt:lpstr>z_markeeins_konzernap_kvs</vt:lpstr>
      <vt:lpstr>z_markeeins_konzernap_oftp2</vt:lpstr>
      <vt:lpstr>z_markeeins_konzernap_scf</vt:lpstr>
      <vt:lpstr>z_markeeins_konzernap_simplx</vt:lpstr>
      <vt:lpstr>z_markeeins_konzernap_sonstservice</vt:lpstr>
      <vt:lpstr>z_markeeins_konzernap_syncrofit</vt:lpstr>
      <vt:lpstr>z_markeeins_konzernap_vwdms</vt:lpstr>
      <vt:lpstr>z_markeeins_konzernap_wts</vt:lpstr>
      <vt:lpstr>z_markeeins_konzernap_zmb</vt:lpstr>
      <vt:lpstr>z_markeeins_kvs</vt:lpstr>
      <vt:lpstr>z_markeeins_kvs_konzernap_abteilung</vt:lpstr>
      <vt:lpstr>z_markeeins_kvs_konzernap_anrede</vt:lpstr>
      <vt:lpstr>z_markeeins_kvs_konzernap_email</vt:lpstr>
      <vt:lpstr>z_markeeins_kvs_konzernap_name</vt:lpstr>
      <vt:lpstr>z_markeeins_kvs_konzernap_telefon</vt:lpstr>
      <vt:lpstr>z_markeeins_kvs_konzernap_vorname</vt:lpstr>
      <vt:lpstr>z_markeeins_marke</vt:lpstr>
      <vt:lpstr>z_markeeins_mynet</vt:lpstr>
      <vt:lpstr>z_markeeins_mynet_konzernap_abteilung</vt:lpstr>
      <vt:lpstr>z_markeeins_mynet_konzernap_anrede</vt:lpstr>
      <vt:lpstr>z_markeeins_mynet_konzernap_email</vt:lpstr>
      <vt:lpstr>z_markeeins_mynet_konzernap_name</vt:lpstr>
      <vt:lpstr>z_markeeins_mynet_konzernap_telefon</vt:lpstr>
      <vt:lpstr>z_markeeins_mynet_konzernap_vorname</vt:lpstr>
      <vt:lpstr>z_markeeins_oftp</vt:lpstr>
      <vt:lpstr>z_markeeins_oftp_konzernap_abteilung</vt:lpstr>
      <vt:lpstr>z_markeeins_oftp_konzernap_anrede</vt:lpstr>
      <vt:lpstr>z_markeeins_oftp_konzernap_email</vt:lpstr>
      <vt:lpstr>z_markeeins_oftp_konzernap_name</vt:lpstr>
      <vt:lpstr>z_markeeins_oftp_konzernap_telefon</vt:lpstr>
      <vt:lpstr>z_markeeins_oftp_konzernap_vorname</vt:lpstr>
      <vt:lpstr>z_markeeins_qts</vt:lpstr>
      <vt:lpstr>z_markeeins_qts_konzernap_abteilung</vt:lpstr>
      <vt:lpstr>z_markeeins_qts_konzernap_anrede</vt:lpstr>
      <vt:lpstr>z_markeeins_qts_konzernap_email</vt:lpstr>
      <vt:lpstr>z_markeeins_qts_konzernap_name</vt:lpstr>
      <vt:lpstr>z_markeeins_qts_konzernap_telefon</vt:lpstr>
      <vt:lpstr>z_markeeins_qts_konzernap_vorname</vt:lpstr>
      <vt:lpstr>z_markeeins_scf</vt:lpstr>
      <vt:lpstr>z_markeeins_scf_konzernap_abteilung</vt:lpstr>
      <vt:lpstr>z_markeeins_scf_konzernap_anrede</vt:lpstr>
      <vt:lpstr>z_markeeins_scf_konzernap_email</vt:lpstr>
      <vt:lpstr>z_markeeins_scf_konzernap_name</vt:lpstr>
      <vt:lpstr>z_markeeins_scf_konzernap_telefon</vt:lpstr>
      <vt:lpstr>z_markeeins_scf_konzernap_vorname</vt:lpstr>
      <vt:lpstr>z_markeeins_simplx</vt:lpstr>
      <vt:lpstr>z_markeeins_simplx_konzernap_abteilung</vt:lpstr>
      <vt:lpstr>z_markeeins_simplx_konzernap_anrede</vt:lpstr>
      <vt:lpstr>z_markeeins_simplx_konzernap_email</vt:lpstr>
      <vt:lpstr>z_markeeins_simplx_konzernap_name</vt:lpstr>
      <vt:lpstr>z_markeeins_simplx_konzernap_telefon</vt:lpstr>
      <vt:lpstr>z_markeeins_simplx_konzernap_vorname</vt:lpstr>
      <vt:lpstr>z_markeeins_sonstservice</vt:lpstr>
      <vt:lpstr>z_markeeins_syncrofit</vt:lpstr>
      <vt:lpstr>z_markeeins_syncrofit_konzernap_abteilung</vt:lpstr>
      <vt:lpstr>z_markeeins_syncrofit_konzernap_anrede</vt:lpstr>
      <vt:lpstr>z_markeeins_syncrofit_konzernap_email</vt:lpstr>
      <vt:lpstr>z_markeeins_syncrofit_konzernap_name</vt:lpstr>
      <vt:lpstr>z_markeeins_syncrofit_konzernap_telefon</vt:lpstr>
      <vt:lpstr>z_markeeins_syncrofit_konzernap_vorname</vt:lpstr>
      <vt:lpstr>z_markeeins_vwdms</vt:lpstr>
      <vt:lpstr>z_markeeins_vwdms_konzernap_abteilung</vt:lpstr>
      <vt:lpstr>z_markeeins_vwdms_konzernap_anrede</vt:lpstr>
      <vt:lpstr>z_markeeins_vwdms_konzernap_email</vt:lpstr>
      <vt:lpstr>z_markeeins_vwdms_konzernap_name</vt:lpstr>
      <vt:lpstr>z_markeeins_vwdms_konzernap_telefon</vt:lpstr>
      <vt:lpstr>z_markeeins_vwdms_konzernap_vorname</vt:lpstr>
      <vt:lpstr>z_markeeins_vweportal</vt:lpstr>
      <vt:lpstr>z_markeeins_vweportal_konzernap_abteilung</vt:lpstr>
      <vt:lpstr>z_markeeins_vweportal_konzernap_anrede</vt:lpstr>
      <vt:lpstr>z_markeeins_vweportal_konzernap_email</vt:lpstr>
      <vt:lpstr>z_markeeins_vweportal_konzernap_name</vt:lpstr>
      <vt:lpstr>z_markeeins_vweportal_konzernap_telefon</vt:lpstr>
      <vt:lpstr>z_markeeins_vweportal_konzernap_vorname</vt:lpstr>
      <vt:lpstr>z_markeeins_wts</vt:lpstr>
      <vt:lpstr>z_markeeins_wts_konzernap_abteilung</vt:lpstr>
      <vt:lpstr>z_markeeins_wts_konzernap_anrede</vt:lpstr>
      <vt:lpstr>z_markeeins_wts_konzernap_email</vt:lpstr>
      <vt:lpstr>z_markeeins_wts_konzernap_name</vt:lpstr>
      <vt:lpstr>z_markeeins_wts_konzernap_telefon</vt:lpstr>
      <vt:lpstr>z_markeeins_wts_konzernap_vorname</vt:lpstr>
      <vt:lpstr>z_markeeins_zmb</vt:lpstr>
      <vt:lpstr>z_markeeins_zmb_konzernap_abteilung</vt:lpstr>
      <vt:lpstr>z_markeeins_zmb_konzernap_anrede</vt:lpstr>
      <vt:lpstr>z_markeeins_zmb_konzernap_email</vt:lpstr>
      <vt:lpstr>z_markeeins_zmb_konzernap_name</vt:lpstr>
      <vt:lpstr>z_markeeins_zmb_konzernap_telefon</vt:lpstr>
      <vt:lpstr>z_markeeins_zmb_konzernap_vorname</vt:lpstr>
      <vt:lpstr>z_markezwei_citrix</vt:lpstr>
      <vt:lpstr>z_markezwei_citrix_konzernap_abteilung</vt:lpstr>
      <vt:lpstr>z_markezwei_citrix_konzernap_anrede</vt:lpstr>
      <vt:lpstr>z_markezwei_citrix_konzernap_email</vt:lpstr>
      <vt:lpstr>z_markezwei_citrix_konzernap_name</vt:lpstr>
      <vt:lpstr>z_markezwei_citrix_konzernap_telefon</vt:lpstr>
      <vt:lpstr>z_markezwei_citrix_konzernap_vorname</vt:lpstr>
      <vt:lpstr>z_markezwei_citrix_verwendung</vt:lpstr>
      <vt:lpstr>z_markezwei_connect</vt:lpstr>
      <vt:lpstr>z_markezwei_connect_konzernap_abteilung</vt:lpstr>
      <vt:lpstr>z_markezwei_connect_konzernap_anrede</vt:lpstr>
      <vt:lpstr>z_markezwei_connect_konzernap_email</vt:lpstr>
      <vt:lpstr>z_markezwei_connect_konzernap_name</vt:lpstr>
      <vt:lpstr>z_markezwei_connect_konzernap_telefon</vt:lpstr>
      <vt:lpstr>z_markezwei_connect_konzernap_vorname</vt:lpstr>
      <vt:lpstr>z_markezwei_dmzlaufwerk</vt:lpstr>
      <vt:lpstr>z_markezwei_dmzlaufwerk_konzernap_abteilung</vt:lpstr>
      <vt:lpstr>z_markezwei_dmzlaufwerk_konzernap_anrede</vt:lpstr>
      <vt:lpstr>z_markezwei_dmzlaufwerk_konzernap_email</vt:lpstr>
      <vt:lpstr>z_markezwei_dmzlaufwerk_konzernap_name</vt:lpstr>
      <vt:lpstr>z_markezwei_dmzlaufwerk_konzernap_telefon</vt:lpstr>
      <vt:lpstr>z_markezwei_dmzlaufwerk_konzernap_vorname</vt:lpstr>
      <vt:lpstr>z_markezwei_eca</vt:lpstr>
      <vt:lpstr>z_markezwei_eca_konzernap_abteilung</vt:lpstr>
      <vt:lpstr>z_markezwei_eca_konzernap_anrede</vt:lpstr>
      <vt:lpstr>z_markezwei_eca_konzernap_email</vt:lpstr>
      <vt:lpstr>z_markezwei_eca_konzernap_name</vt:lpstr>
      <vt:lpstr>z_markezwei_eca_konzernap_telefon</vt:lpstr>
      <vt:lpstr>z_markezwei_eca_konzernap_vorname</vt:lpstr>
      <vt:lpstr>z_markezwei_edikommerzda</vt:lpstr>
      <vt:lpstr>z_markezwei_edikommerzda_konzernap_abteilung</vt:lpstr>
      <vt:lpstr>z_markezwei_edikommerzda_konzernap_anrede</vt:lpstr>
      <vt:lpstr>z_markezwei_edikommerzda_konzernap_email</vt:lpstr>
      <vt:lpstr>z_markezwei_edikommerzda_konzernap_name</vt:lpstr>
      <vt:lpstr>z_markezwei_edikommerzda_konzernap_telefon</vt:lpstr>
      <vt:lpstr>z_markezwei_edikommerzda_konzernap_vorname</vt:lpstr>
      <vt:lpstr>z_markezwei_frage_sonstservice</vt:lpstr>
      <vt:lpstr>z_markezwei_frage_sonstservice_konzernap_abteilung</vt:lpstr>
      <vt:lpstr>z_markezwei_frage_sonstservice_konzernap_anrede</vt:lpstr>
      <vt:lpstr>z_markezwei_frage_sonstservice_konzernap_email</vt:lpstr>
      <vt:lpstr>z_markezwei_frage_sonstservice_konzernap_name</vt:lpstr>
      <vt:lpstr>z_markezwei_frage_sonstservice_konzernap_telefon</vt:lpstr>
      <vt:lpstr>z_markezwei_frage_sonstservice_konzernap_vorname</vt:lpstr>
      <vt:lpstr>z_markezwei_jit</vt:lpstr>
      <vt:lpstr>z_markezwei_jit_audinutzungsstandort</vt:lpstr>
      <vt:lpstr>z_markezwei_jit_konzernap_abteilung</vt:lpstr>
      <vt:lpstr>z_markezwei_jit_konzernap_anrede</vt:lpstr>
      <vt:lpstr>z_markezwei_jit_konzernap_email</vt:lpstr>
      <vt:lpstr>z_markezwei_jit_konzernap_name</vt:lpstr>
      <vt:lpstr>z_markezwei_jit_konzernap_telefon</vt:lpstr>
      <vt:lpstr>z_markezwei_jit_konzernap_vorname</vt:lpstr>
      <vt:lpstr>z_markezwei_konzernap_audimynet</vt:lpstr>
      <vt:lpstr>z_markezwei_konzernap_citrix</vt:lpstr>
      <vt:lpstr>z_markezwei_konzernap_Connect</vt:lpstr>
      <vt:lpstr>z_markezwei_konzernap_dmzlaufwerk</vt:lpstr>
      <vt:lpstr>z_markezwei_konzernap_eca</vt:lpstr>
      <vt:lpstr>z_markezwei_konzernap_edi</vt:lpstr>
      <vt:lpstr>z_markezwei_konzernap_jti</vt:lpstr>
      <vt:lpstr>z_markezwei_konzernap_kvs</vt:lpstr>
      <vt:lpstr>z_markezwei_konzernap_oftp2</vt:lpstr>
      <vt:lpstr>z_markezwei_konzernap_scf</vt:lpstr>
      <vt:lpstr>z_markezwei_konzernap_simplx</vt:lpstr>
      <vt:lpstr>z_markezwei_konzernap_sonstservice</vt:lpstr>
      <vt:lpstr>z_markezwei_konzernap_syncrofit</vt:lpstr>
      <vt:lpstr>z_markezwei_konzernap_vwdms</vt:lpstr>
      <vt:lpstr>z_markezwei_konzernap_wts</vt:lpstr>
      <vt:lpstr>z_markezwei_konzernap_zmb</vt:lpstr>
      <vt:lpstr>z_markezwei_kvs</vt:lpstr>
      <vt:lpstr>z_markezwei_kvs_konzernap_abteilung</vt:lpstr>
      <vt:lpstr>z_markezwei_kvs_konzernap_anrede</vt:lpstr>
      <vt:lpstr>z_markezwei_kvs_konzernap_email</vt:lpstr>
      <vt:lpstr>z_markezwei_kvs_konzernap_name</vt:lpstr>
      <vt:lpstr>z_markezwei_kvs_konzernap_telefon</vt:lpstr>
      <vt:lpstr>z_markezwei_kvs_konzernap_vorname</vt:lpstr>
      <vt:lpstr>z_markezwei_marke</vt:lpstr>
      <vt:lpstr>z_markezwei_mynet</vt:lpstr>
      <vt:lpstr>z_markezwei_mynet_konzernap_abteilung</vt:lpstr>
      <vt:lpstr>z_markezwei_mynet_konzernap_anrede</vt:lpstr>
      <vt:lpstr>z_markezwei_mynet_konzernap_email</vt:lpstr>
      <vt:lpstr>z_markezwei_mynet_konzernap_name</vt:lpstr>
      <vt:lpstr>z_markezwei_mynet_konzernap_telefon</vt:lpstr>
      <vt:lpstr>z_markezwei_mynet_konzernap_vorname</vt:lpstr>
      <vt:lpstr>z_markezwei_oftp</vt:lpstr>
      <vt:lpstr>z_markezwei_oftp_konzernap_abteilung</vt:lpstr>
      <vt:lpstr>z_markezwei_oftp_konzernap_anrede</vt:lpstr>
      <vt:lpstr>z_markezwei_oftp_konzernap_email</vt:lpstr>
      <vt:lpstr>z_markezwei_oftp_konzernap_name</vt:lpstr>
      <vt:lpstr>z_markezwei_oftp_konzernap_telefon</vt:lpstr>
      <vt:lpstr>z_markezwei_oftp_konzernap_vorname</vt:lpstr>
      <vt:lpstr>z_markezwei_qts</vt:lpstr>
      <vt:lpstr>z_markezwei_qts_konzernap_abteilung</vt:lpstr>
      <vt:lpstr>z_markezwei_qts_konzernap_anrede</vt:lpstr>
      <vt:lpstr>z_markezwei_qts_konzernap_email</vt:lpstr>
      <vt:lpstr>z_markezwei_qts_konzernap_name</vt:lpstr>
      <vt:lpstr>z_markezwei_qts_konzernap_telefon</vt:lpstr>
      <vt:lpstr>z_markezwei_qts_konzernap_vorname</vt:lpstr>
      <vt:lpstr>z_markezwei_scf</vt:lpstr>
      <vt:lpstr>z_markezwei_scf_konzernap_abteilung</vt:lpstr>
      <vt:lpstr>z_markezwei_scf_konzernap_anrede</vt:lpstr>
      <vt:lpstr>z_markezwei_scf_konzernap_email</vt:lpstr>
      <vt:lpstr>z_markezwei_scf_konzernap_name</vt:lpstr>
      <vt:lpstr>z_markezwei_scf_konzernap_telefon</vt:lpstr>
      <vt:lpstr>z_markezwei_scf_konzernap_vorname</vt:lpstr>
      <vt:lpstr>z_markezwei_simplx</vt:lpstr>
      <vt:lpstr>z_markezwei_simplx_konzernap_abteilung</vt:lpstr>
      <vt:lpstr>z_markezwei_simplx_konzernap_anrede</vt:lpstr>
      <vt:lpstr>z_markezwei_simplx_konzernap_email</vt:lpstr>
      <vt:lpstr>z_markezwei_simplx_konzernap_name</vt:lpstr>
      <vt:lpstr>z_markezwei_simplx_konzernap_telefon</vt:lpstr>
      <vt:lpstr>z_markezwei_simplx_konzernap_vorname</vt:lpstr>
      <vt:lpstr>z_markezwei_sonstservice</vt:lpstr>
      <vt:lpstr>z_markezwei_syncrofit</vt:lpstr>
      <vt:lpstr>z_markezwei_syncrofit_konzernap_abteilung</vt:lpstr>
      <vt:lpstr>z_markezwei_syncrofit_konzernap_anrede</vt:lpstr>
      <vt:lpstr>z_markezwei_syncrofit_konzernap_email</vt:lpstr>
      <vt:lpstr>z_markezwei_syncrofit_konzernap_name</vt:lpstr>
      <vt:lpstr>z_markezwei_syncrofit_konzernap_telefon</vt:lpstr>
      <vt:lpstr>z_markezwei_syncrofit_konzernap_vorname</vt:lpstr>
      <vt:lpstr>z_markezwei_vwdms</vt:lpstr>
      <vt:lpstr>z_markezwei_vwdms_konzernap_abteilung</vt:lpstr>
      <vt:lpstr>z_markezwei_vwdms_konzernap_anrede</vt:lpstr>
      <vt:lpstr>z_markezwei_vwdms_konzernap_email</vt:lpstr>
      <vt:lpstr>z_markezwei_vwdms_konzernap_name</vt:lpstr>
      <vt:lpstr>z_markezwei_vwdms_konzernap_telefon</vt:lpstr>
      <vt:lpstr>z_markezwei_vwdms_konzernap_vorname</vt:lpstr>
      <vt:lpstr>z_markezwei_vweportal</vt:lpstr>
      <vt:lpstr>z_markezwei_vweportal_konzernap_abteilung</vt:lpstr>
      <vt:lpstr>z_markezwei_vweportal_konzernap_anrede</vt:lpstr>
      <vt:lpstr>z_markezwei_vweportal_konzernap_email</vt:lpstr>
      <vt:lpstr>z_markezwei_vweportal_konzernap_name</vt:lpstr>
      <vt:lpstr>z_markezwei_vweportal_konzernap_telefon</vt:lpstr>
      <vt:lpstr>z_markezwei_vweportal_konzernap_vorname</vt:lpstr>
      <vt:lpstr>z_markezwei_wts</vt:lpstr>
      <vt:lpstr>z_markezwei_wts_konzernap_abteilung</vt:lpstr>
      <vt:lpstr>z_markezwei_wts_konzernap_anrede</vt:lpstr>
      <vt:lpstr>z_markezwei_wts_konzernap_email</vt:lpstr>
      <vt:lpstr>z_markezwei_wts_konzernap_name</vt:lpstr>
      <vt:lpstr>z_markezwei_wts_konzernap_telefon</vt:lpstr>
      <vt:lpstr>z_markezwei_wts_konzernap_vorname</vt:lpstr>
      <vt:lpstr>z_markezwei_zmb</vt:lpstr>
      <vt:lpstr>z_markezwei_zmb_konzernap_abteilung</vt:lpstr>
      <vt:lpstr>z_markezwei_zmb_konzernap_anrede</vt:lpstr>
      <vt:lpstr>z_markezwei_zmb_konzernap_email</vt:lpstr>
      <vt:lpstr>z_markezwei_zmb_konzernap_name</vt:lpstr>
      <vt:lpstr>z_markezwei_zmb_konzernap_telefon</vt:lpstr>
      <vt:lpstr>z_markezwei_zmb_konzernap_vorname</vt:lpstr>
      <vt:lpstr>z_neuanbindung</vt:lpstr>
      <vt:lpstr>z_ort_daten</vt:lpstr>
      <vt:lpstr>Z_ort_land</vt:lpstr>
      <vt:lpstr>z_ort_rechnung</vt:lpstr>
      <vt:lpstr>z_ort_technisch</vt:lpstr>
      <vt:lpstr>z_ort_vertrag</vt:lpstr>
      <vt:lpstr>z_plz_daten</vt:lpstr>
      <vt:lpstr>z_plz_rechnung</vt:lpstr>
      <vt:lpstr>z_plz_technisch</vt:lpstr>
      <vt:lpstr>z_plz_vertrag</vt:lpstr>
      <vt:lpstr>z_strasse_daten</vt:lpstr>
      <vt:lpstr>z_strasse_rechnung</vt:lpstr>
      <vt:lpstr>z_strasse_technisch</vt:lpstr>
      <vt:lpstr>z_strasse_vertrag</vt:lpstr>
      <vt:lpstr>z_tisax_standorttechnisch</vt:lpstr>
      <vt:lpstr>z_tisax_vertragsnehmer</vt:lpstr>
      <vt:lpstr>z_tisax_zusatzstandort0</vt:lpstr>
      <vt:lpstr>z_tisax_zusatzstandort1</vt:lpstr>
      <vt:lpstr>z_tisax_zusatzstandort10</vt:lpstr>
      <vt:lpstr>z_tisax_zusatzstandort11</vt:lpstr>
      <vt:lpstr>z_tisax_zusatzstandort12</vt:lpstr>
      <vt:lpstr>z_tisax_zusatzstandort13</vt:lpstr>
      <vt:lpstr>z_tisax_zusatzstandort14</vt:lpstr>
      <vt:lpstr>z_tisax_zusatzstandort15</vt:lpstr>
      <vt:lpstr>z_tisax_zusatzstandort16</vt:lpstr>
      <vt:lpstr>z_tisax_zusatzstandort17</vt:lpstr>
      <vt:lpstr>z_tisax_zusatzstandort18</vt:lpstr>
      <vt:lpstr>z_tisax_zusatzstandort19</vt:lpstr>
      <vt:lpstr>z_tisax_zusatzstandort2</vt:lpstr>
      <vt:lpstr>z_tisax_zusatzstandort20</vt:lpstr>
      <vt:lpstr>z_tisax_zusatzstandort3</vt:lpstr>
      <vt:lpstr>z_tisax_zusatzstandort4</vt:lpstr>
      <vt:lpstr>z_tisax_zusatzstandort5</vt:lpstr>
      <vt:lpstr>z_tisax_zusatzstandort6</vt:lpstr>
      <vt:lpstr>z_tisax_zusatzstandort7</vt:lpstr>
      <vt:lpstr>z_tisax_zusatzstandort8</vt:lpstr>
      <vt:lpstr>z_tisax_zusatzstandort9</vt:lpstr>
      <vt:lpstr>z_ustid_vertrag</vt:lpstr>
      <vt:lpstr>z_zusatzstandort_aussage_beauftragung</vt:lpstr>
      <vt:lpstr>'status of TISAX assessment'!Zusatzstandort1</vt:lpstr>
      <vt:lpstr>Zusatzstandort1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CSN-Steckbrief</dc:title>
  <dc:subject>Erstinformation CSN</dc:subject>
  <dc:creator/>
  <dc:description>englische Version</dc:description>
  <cp:lastModifiedBy/>
  <dcterms:created xsi:type="dcterms:W3CDTF">2006-09-16T00:00:00Z</dcterms:created>
  <dcterms:modified xsi:type="dcterms:W3CDTF">2021-04-08T08:48:36Z</dcterms:modified>
  <cp:category>Spezifikation</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1.21 (valid from 21.01.2021)</vt:lpwstr>
  </property>
  <property fmtid="{D5CDD505-2E9C-101B-9397-08002B2CF9AE}" pid="3" name="Status">
    <vt:lpwstr>released</vt:lpwstr>
  </property>
  <property fmtid="{D5CDD505-2E9C-101B-9397-08002B2CF9AE}" pid="4" name="Vertraulichkeit">
    <vt:lpwstr>öffentlich</vt:lpwstr>
  </property>
  <property fmtid="{D5CDD505-2E9C-101B-9397-08002B2CF9AE}" pid="5" name="Zusatz">
    <vt:lpwstr>Aktualisierung vom 17.01.2018</vt:lpwstr>
  </property>
</Properties>
</file>